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<sst xmlns="http://schemas.openxmlformats.org/spreadsheetml/2006/main" count="135" uniqueCount="104">
  <si>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</si>
  <si>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</si>
  <si>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</si>
  <si>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</si>
  <si>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</si>
  <si>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</si>
  <si>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</si>
  <si>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</si>
  <si>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</si>
  <si>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</si>
  <si>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</si>
  <si>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</si>
  <si>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</si>
  <si>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</si>
  <si>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</si>
  <si>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</si>
  <si>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</si>
  <si>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</si>
  <si>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</si>
  <si>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</si>
  <si>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</si>
  <si>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</si>
  <si>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</si>
  <si>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</si>
  <si>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</si>
  <si>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</si>
  <si>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</si>
  <si>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</si>
  <si>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</si>
  <si>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</si>
  <si>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Պողոսյան Մարտին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</si>
  <si>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</si>
  <si>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</si>
  <si>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</si>
  <si>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</si>
  <si>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</si>
  <si>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</si>
  <si>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</si>
  <si>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</si>
  <si>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</si>
  <si>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</si>
  <si>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</si>
  <si>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</si>
  <si>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</si>
  <si>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</si>
  <si>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Աբրահամյան Ռաֆիկ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</si>
  <si>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</si>
  <si>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</si>
  <si>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</si>
  <si>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</si>
  <si>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</si>
  <si>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</si>
  <si>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</si>
  <si>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</si>
  <si>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</si>
  <si>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</si>
  <si>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</si>
  <si>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</si>
  <si>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</si>
  <si>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>ուղարկվել է նախազգուշացում,   չի ստացել, կատարվել են ճշգրտումներ: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</si>
  <si>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</si>
  <si>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</si>
  <si>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</si>
  <si>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Համաձայն 08/01-1903/14 որոշման ԴԱՀԿ-ի կողմից վերցվել է հարկադիր կատարման</t>
  </si>
  <si>
    <t>Հակոբյան Հակոբ</t>
  </si>
  <si>
    <t>ուղարկվել է նախազգուշացում,  գործը նախապատրաստվում է ուղարկելու հարկադիր կատարման</t>
  </si>
  <si>
    <t>ուղարկվել է նախազգուշացում, կազմվել է վճարման ժամանակացույց, ժամկետ է սահմանվել ըստ ժամանակացույցի 30.11.2016 թվականը</t>
  </si>
  <si>
    <t>Ուղարկվել է նախազգուշացում, պարտքը կազմել է 1209.9 հազ. դրամ, 27.09.2015թ. Վճարել 150.0 հազ. դրամ:</t>
  </si>
  <si>
    <t>Փանոսյան Տիգրան</t>
  </si>
  <si>
    <t>Նախապատրաստվում են նյութեր ԴԱՀԿ հանձնելու համար:</t>
  </si>
  <si>
    <t>Բադեյան Գայանե</t>
  </si>
  <si>
    <t>ՈՒղարկվել է նախազգուշացում:</t>
  </si>
  <si>
    <t>Գասպարյան Գևորգ</t>
  </si>
  <si>
    <t>Մելքոնյան Հրաչ</t>
  </si>
  <si>
    <t>ուղարկվել է նախազգուշացում, կազմվել է պարտքի մարման ժամանակացույց:</t>
  </si>
  <si>
    <t>Վարչական դատարանի . ՎԴ5/0062/05/15 գործի 09.09.2015թ. վճռով հայցը բավարարվել է մասնակի, կիրառելով ՙՙՀարկերի մասին՚՚ ՀՀ օրենքի 30.1-րդ հոդվածը: 29.09.2014թ. դրությամբ 2008-2014թթ. հարկային պարտավորության 1173346 դրամ գումարից հօգուտ Գյումրու համայնքի պետք է բռնագանձվի 531067 դրամ: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</si>
  <si>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</si>
  <si>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</si>
  <si>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</si>
  <si>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</si>
  <si>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</si>
  <si>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</si>
  <si>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</si>
  <si>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</si>
  <si>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</si>
  <si>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Հարությունյան Հարություն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</si>
  <si>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</si>
  <si>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</si>
  <si>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</si>
  <si>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</si>
  <si>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</si>
  <si>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Մնացականյան Արմեն</t>
  </si>
  <si>
    <t>Միհրանյան Վահրամ</t>
  </si>
  <si>
    <t>Սիմոնյան Կառլեն</t>
  </si>
  <si>
    <t>&lt;&lt;Մարիամ - 79&gt;&gt; ՍՊԸ</t>
  </si>
  <si>
    <t>Ուղարկվել է նախազգուշացում, չվճարելու դեքում գործը կուղարկվի ԴԱՀԿ բռնագանձման:</t>
  </si>
  <si>
    <t>&lt;&lt;Նանա-Ար&gt;&gt; ԱԿ</t>
  </si>
  <si>
    <t>&lt;&lt;Ալեքպոլ&gt;&gt; ՍՊԸ</t>
  </si>
  <si>
    <t>Նախապատրաստվում են նյութերը ներկայացնելու ԴԱՀԿ:</t>
  </si>
  <si>
    <t>ՏԵՂԵԿԱՆՔ                             
 հողի հարկի և գույքահարկի գծով խոշոր պարտավորություններ ունեցող ֆիզիկական և իրավաբանական անձանց ցուցակը 01.03.2016թ.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</si>
  <si>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01.03.2016թ. դրությամբ</t>
  </si>
  <si>
    <t>պարտքը կազմել է 960.4 հազ. դրամ, 05.02.2015թ. Վճարվել է 100.0 հազ. դրամ. Գործը գտնվում  է դատարանում:</t>
  </si>
  <si>
    <t>Դատարանի կողմից ճանաչվել է սնանկ 06,10,2015թ.-ին</t>
  </si>
  <si>
    <t>2015թ. ընթացքում վճարումներ չեն կատարվել, ուղարկվել է նախազգուշացում, կազմվել է պարտքերի աստիճանական մարման ժամանակացույց: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</si>
</sst>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80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0" fontId="4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0" fontId="4" fillId="34" borderId="11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182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10" fillId="38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39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0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zoomScale="85" zoomScaleNormal="8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41" sqref="N41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8" t="s">
        <v>99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5" customHeight="1">
      <c r="B3" s="5"/>
      <c r="C3" s="5"/>
      <c r="D3" s="5"/>
      <c r="E3" s="5"/>
      <c r="F3" s="5"/>
      <c r="M3" s="7" t="s">
        <v>10</v>
      </c>
      <c r="N3" s="6"/>
    </row>
    <row r="4" spans="1:14" ht="122.25" customHeight="1">
      <c r="A4" s="80" t="s">
        <v>0</v>
      </c>
      <c r="B4" s="72" t="s">
        <v>1</v>
      </c>
      <c r="C4" s="81" t="s">
        <v>7</v>
      </c>
      <c r="D4" s="82"/>
      <c r="E4" s="72" t="s">
        <v>48</v>
      </c>
      <c r="F4" s="87" t="s">
        <v>46</v>
      </c>
      <c r="G4" s="8" t="s">
        <v>11</v>
      </c>
      <c r="H4" s="8" t="s">
        <v>12</v>
      </c>
      <c r="I4" s="8" t="s">
        <v>11</v>
      </c>
      <c r="J4" s="8" t="s">
        <v>12</v>
      </c>
      <c r="K4" s="72" t="s">
        <v>49</v>
      </c>
      <c r="L4" s="87" t="s">
        <v>47</v>
      </c>
      <c r="M4" s="83" t="s">
        <v>2</v>
      </c>
      <c r="N4" s="79" t="s">
        <v>15</v>
      </c>
    </row>
    <row r="5" spans="1:14" ht="47.25" customHeight="1">
      <c r="A5" s="80"/>
      <c r="B5" s="73"/>
      <c r="C5" s="8" t="s">
        <v>14</v>
      </c>
      <c r="D5" s="8" t="s">
        <v>9</v>
      </c>
      <c r="E5" s="73"/>
      <c r="F5" s="89"/>
      <c r="G5" s="85" t="s">
        <v>8</v>
      </c>
      <c r="H5" s="86"/>
      <c r="I5" s="85" t="s">
        <v>13</v>
      </c>
      <c r="J5" s="86"/>
      <c r="K5" s="73"/>
      <c r="L5" s="88"/>
      <c r="M5" s="84"/>
      <c r="N5" s="79"/>
    </row>
    <row r="6" spans="1:14" ht="22.5" customHeight="1">
      <c r="A6" s="39"/>
      <c r="B6" s="43" t="s">
        <v>5</v>
      </c>
      <c r="C6" s="44"/>
      <c r="D6" s="44"/>
      <c r="E6" s="44"/>
      <c r="F6" s="45"/>
      <c r="G6" s="44"/>
      <c r="H6" s="44"/>
      <c r="I6" s="46"/>
      <c r="J6" s="46"/>
      <c r="K6" s="46"/>
      <c r="L6" s="45"/>
      <c r="M6" s="47"/>
      <c r="N6" s="17"/>
    </row>
    <row r="7" spans="1:14" ht="14.25">
      <c r="A7" s="48">
        <v>1</v>
      </c>
      <c r="B7" s="49" t="s">
        <v>6</v>
      </c>
      <c r="C7" s="1"/>
      <c r="D7" s="1"/>
      <c r="E7" s="1"/>
      <c r="F7" s="45"/>
      <c r="G7" s="1"/>
      <c r="H7" s="1"/>
      <c r="I7" s="46"/>
      <c r="J7" s="46"/>
      <c r="K7" s="46"/>
      <c r="L7" s="45"/>
      <c r="M7" s="47"/>
      <c r="N7" s="17"/>
    </row>
    <row r="8" spans="1:14" ht="62.25" customHeight="1">
      <c r="A8" s="48">
        <v>1</v>
      </c>
      <c r="B8" s="68" t="s">
        <v>30</v>
      </c>
      <c r="C8" s="1"/>
      <c r="D8" s="1"/>
      <c r="E8" s="1"/>
      <c r="F8" s="50">
        <f>SUM(C8:E8)</f>
        <v>0</v>
      </c>
      <c r="G8" s="1"/>
      <c r="H8" s="1"/>
      <c r="I8" s="51">
        <f>532+54.9-150+150+98.4</f>
        <v>685.3</v>
      </c>
      <c r="J8" s="51"/>
      <c r="K8" s="51">
        <f>358.9+2.2+2.7+2.5+2.4+0.4+8.3-2.8+7.3</f>
        <v>381.8999999999999</v>
      </c>
      <c r="L8" s="50">
        <f aca="true" t="shared" si="0" ref="L8:L27">SUM(G8:K8)</f>
        <v>1067.1999999999998</v>
      </c>
      <c r="M8" s="52">
        <f aca="true" t="shared" si="1" ref="M8:M27">L8+F8</f>
        <v>1067.1999999999998</v>
      </c>
      <c r="N8" s="60" t="s">
        <v>67</v>
      </c>
    </row>
    <row r="9" spans="1:14" ht="45.75" customHeight="1">
      <c r="A9" s="48">
        <v>2</v>
      </c>
      <c r="B9" s="68" t="s">
        <v>31</v>
      </c>
      <c r="C9" s="1"/>
      <c r="D9" s="1"/>
      <c r="E9" s="1"/>
      <c r="F9" s="50">
        <f aca="true" t="shared" si="2" ref="F9:F40">SUM(C9:E9)</f>
        <v>0</v>
      </c>
      <c r="G9" s="1"/>
      <c r="H9" s="1"/>
      <c r="I9" s="51">
        <f>419.9+151+151</f>
        <v>721.9</v>
      </c>
      <c r="J9" s="51"/>
      <c r="K9" s="51">
        <f>262.5+6.1+7.5+6.7+6.6+1.1+12.7+7.1</f>
        <v>310.30000000000007</v>
      </c>
      <c r="L9" s="50">
        <f t="shared" si="0"/>
        <v>1032.2</v>
      </c>
      <c r="M9" s="52">
        <f t="shared" si="1"/>
        <v>1032.2</v>
      </c>
      <c r="N9" s="60" t="s">
        <v>54</v>
      </c>
    </row>
    <row r="10" spans="1:14" ht="47.25" customHeight="1">
      <c r="A10" s="48">
        <v>3</v>
      </c>
      <c r="B10" s="68" t="s">
        <v>32</v>
      </c>
      <c r="C10" s="1"/>
      <c r="D10" s="1"/>
      <c r="E10" s="1"/>
      <c r="F10" s="50">
        <f t="shared" si="2"/>
        <v>0</v>
      </c>
      <c r="G10" s="1"/>
      <c r="H10" s="1"/>
      <c r="I10" s="51">
        <f>412.5+119.9+120</f>
        <v>652.4</v>
      </c>
      <c r="J10" s="51"/>
      <c r="K10" s="51">
        <f>269.2+4.9+5.9+5.4+5.2+0.9+10.1+5.6</f>
        <v>307.19999999999993</v>
      </c>
      <c r="L10" s="50">
        <f t="shared" si="0"/>
        <v>959.5999999999999</v>
      </c>
      <c r="M10" s="52">
        <f t="shared" si="1"/>
        <v>959.5999999999999</v>
      </c>
      <c r="N10" s="60" t="s">
        <v>54</v>
      </c>
    </row>
    <row r="11" spans="1:14" ht="57" customHeight="1">
      <c r="A11" s="48">
        <v>4</v>
      </c>
      <c r="B11" s="68" t="s">
        <v>33</v>
      </c>
      <c r="C11" s="1"/>
      <c r="D11" s="1"/>
      <c r="E11" s="1"/>
      <c r="F11" s="50">
        <f t="shared" si="2"/>
        <v>0</v>
      </c>
      <c r="G11" s="1"/>
      <c r="H11" s="1"/>
      <c r="I11" s="51">
        <f>465.3+201.5-100+313.6</f>
        <v>880.4</v>
      </c>
      <c r="J11" s="51"/>
      <c r="K11" s="51">
        <f>314.5+4.5+5.7+5.1+4.9+0.8+26.4+14.6</f>
        <v>376.5</v>
      </c>
      <c r="L11" s="50">
        <f t="shared" si="0"/>
        <v>1256.9</v>
      </c>
      <c r="M11" s="52">
        <f t="shared" si="1"/>
        <v>1256.9</v>
      </c>
      <c r="N11" s="60" t="s">
        <v>101</v>
      </c>
    </row>
    <row r="12" spans="1:14" ht="87" customHeight="1">
      <c r="A12" s="48">
        <v>5</v>
      </c>
      <c r="B12" s="68" t="s">
        <v>34</v>
      </c>
      <c r="C12" s="1"/>
      <c r="D12" s="1"/>
      <c r="E12" s="1"/>
      <c r="F12" s="50">
        <f t="shared" si="2"/>
        <v>0</v>
      </c>
      <c r="G12" s="1"/>
      <c r="H12" s="1"/>
      <c r="I12" s="51">
        <v>886.3</v>
      </c>
      <c r="J12" s="51"/>
      <c r="K12" s="51">
        <v>485.3</v>
      </c>
      <c r="L12" s="50">
        <f t="shared" si="0"/>
        <v>1371.6</v>
      </c>
      <c r="M12" s="52">
        <f t="shared" si="1"/>
        <v>1371.6</v>
      </c>
      <c r="N12" s="60" t="s">
        <v>55</v>
      </c>
    </row>
    <row r="13" spans="1:14" ht="43.5" customHeight="1">
      <c r="A13" s="48">
        <v>6</v>
      </c>
      <c r="B13" s="68" t="s">
        <v>68</v>
      </c>
      <c r="C13" s="1"/>
      <c r="D13" s="1"/>
      <c r="E13" s="1"/>
      <c r="F13" s="50">
        <f t="shared" si="2"/>
        <v>0</v>
      </c>
      <c r="G13" s="1"/>
      <c r="H13" s="1"/>
      <c r="I13" s="51">
        <v>619.3</v>
      </c>
      <c r="J13" s="51"/>
      <c r="K13" s="51">
        <f>407.3+7.7</f>
        <v>415</v>
      </c>
      <c r="L13" s="50">
        <f t="shared" si="0"/>
        <v>1034.3</v>
      </c>
      <c r="M13" s="52">
        <f t="shared" si="1"/>
        <v>1034.3</v>
      </c>
      <c r="N13" s="60" t="s">
        <v>69</v>
      </c>
    </row>
    <row r="14" spans="1:14" ht="36" customHeight="1">
      <c r="A14" s="48">
        <v>7</v>
      </c>
      <c r="B14" s="68" t="s">
        <v>70</v>
      </c>
      <c r="C14" s="1"/>
      <c r="D14" s="1"/>
      <c r="E14" s="1"/>
      <c r="F14" s="50">
        <f t="shared" si="2"/>
        <v>0</v>
      </c>
      <c r="G14" s="1"/>
      <c r="H14" s="1"/>
      <c r="I14" s="51">
        <v>842.6</v>
      </c>
      <c r="J14" s="51"/>
      <c r="K14" s="51">
        <f>490.3+17.4</f>
        <v>507.7</v>
      </c>
      <c r="L14" s="50">
        <f t="shared" si="0"/>
        <v>1350.3</v>
      </c>
      <c r="M14" s="52">
        <f t="shared" si="1"/>
        <v>1350.3</v>
      </c>
      <c r="N14" s="60" t="s">
        <v>71</v>
      </c>
    </row>
    <row r="15" spans="1:14" ht="36" customHeight="1">
      <c r="A15" s="48">
        <v>8</v>
      </c>
      <c r="B15" s="68" t="s">
        <v>72</v>
      </c>
      <c r="C15" s="1"/>
      <c r="D15" s="1"/>
      <c r="E15" s="1"/>
      <c r="F15" s="50">
        <f t="shared" si="2"/>
        <v>0</v>
      </c>
      <c r="G15" s="1"/>
      <c r="H15" s="1"/>
      <c r="I15" s="51">
        <v>609.6</v>
      </c>
      <c r="J15" s="51"/>
      <c r="K15" s="51">
        <f>98.8+22.9</f>
        <v>121.69999999999999</v>
      </c>
      <c r="L15" s="50">
        <f t="shared" si="0"/>
        <v>731.3</v>
      </c>
      <c r="M15" s="52">
        <f t="shared" si="1"/>
        <v>731.3</v>
      </c>
      <c r="N15" s="60" t="s">
        <v>71</v>
      </c>
    </row>
    <row r="16" spans="1:14" ht="124.5" customHeight="1">
      <c r="A16" s="48">
        <v>9</v>
      </c>
      <c r="B16" s="68" t="s">
        <v>50</v>
      </c>
      <c r="C16" s="1"/>
      <c r="D16" s="1"/>
      <c r="E16" s="1"/>
      <c r="F16" s="50">
        <f t="shared" si="2"/>
        <v>0</v>
      </c>
      <c r="G16" s="1"/>
      <c r="H16" s="1"/>
      <c r="I16" s="51"/>
      <c r="J16" s="51">
        <f>445+165+165</f>
        <v>775</v>
      </c>
      <c r="K16" s="51">
        <f>303.3+6.7+8.1+7.4+7.2+1.3+13.8+7.7</f>
        <v>355.5</v>
      </c>
      <c r="L16" s="50">
        <f t="shared" si="0"/>
        <v>1130.5</v>
      </c>
      <c r="M16" s="52">
        <f t="shared" si="1"/>
        <v>1130.5</v>
      </c>
      <c r="N16" s="60" t="s">
        <v>56</v>
      </c>
    </row>
    <row r="17" spans="1:14" ht="42.75" customHeight="1">
      <c r="A17" s="48">
        <v>10</v>
      </c>
      <c r="B17" s="68" t="s">
        <v>35</v>
      </c>
      <c r="C17" s="1"/>
      <c r="D17" s="1"/>
      <c r="E17" s="1"/>
      <c r="F17" s="50">
        <f t="shared" si="2"/>
        <v>0</v>
      </c>
      <c r="G17" s="1"/>
      <c r="H17" s="1"/>
      <c r="I17" s="51"/>
      <c r="J17" s="51">
        <f>537+133.2+1.1+134.2</f>
        <v>805.5</v>
      </c>
      <c r="K17" s="51">
        <f>342.6+5.4+6.5+6.1+5.9+1+11.3+6.2</f>
        <v>385</v>
      </c>
      <c r="L17" s="50">
        <f t="shared" si="0"/>
        <v>1190.5</v>
      </c>
      <c r="M17" s="52">
        <f t="shared" si="1"/>
        <v>1190.5</v>
      </c>
      <c r="N17" s="60" t="s">
        <v>58</v>
      </c>
    </row>
    <row r="18" spans="1:14" ht="41.25" customHeight="1">
      <c r="A18" s="48">
        <v>11</v>
      </c>
      <c r="B18" s="68" t="s">
        <v>36</v>
      </c>
      <c r="C18" s="1"/>
      <c r="D18" s="1"/>
      <c r="E18" s="1"/>
      <c r="F18" s="50">
        <f t="shared" si="2"/>
        <v>0</v>
      </c>
      <c r="G18" s="1"/>
      <c r="H18" s="1"/>
      <c r="I18" s="51"/>
      <c r="J18" s="51">
        <f>656.6+164.1+164.4</f>
        <v>985.1</v>
      </c>
      <c r="K18" s="51">
        <f>418.8+6.7+8.3+7.2+7.2+1.2+13.8+7.7</f>
        <v>470.9</v>
      </c>
      <c r="L18" s="50">
        <f t="shared" si="0"/>
        <v>1456</v>
      </c>
      <c r="M18" s="52">
        <f t="shared" si="1"/>
        <v>1456</v>
      </c>
      <c r="N18" s="60" t="s">
        <v>58</v>
      </c>
    </row>
    <row r="19" spans="1:14" ht="52.5" customHeight="1">
      <c r="A19" s="48">
        <v>12</v>
      </c>
      <c r="B19" s="68" t="s">
        <v>73</v>
      </c>
      <c r="C19" s="1"/>
      <c r="D19" s="1"/>
      <c r="E19" s="1"/>
      <c r="F19" s="50">
        <f t="shared" si="2"/>
        <v>0</v>
      </c>
      <c r="G19" s="1"/>
      <c r="H19" s="1"/>
      <c r="I19" s="51"/>
      <c r="J19" s="51">
        <v>601.4</v>
      </c>
      <c r="K19" s="51">
        <f>259.7+7.7</f>
        <v>267.4</v>
      </c>
      <c r="L19" s="50">
        <f t="shared" si="0"/>
        <v>868.8</v>
      </c>
      <c r="M19" s="52">
        <f t="shared" si="1"/>
        <v>868.8</v>
      </c>
      <c r="N19" s="60" t="s">
        <v>74</v>
      </c>
    </row>
    <row r="20" spans="1:14" ht="58.5" customHeight="1">
      <c r="A20" s="48">
        <v>13</v>
      </c>
      <c r="B20" s="68" t="s">
        <v>37</v>
      </c>
      <c r="C20" s="1"/>
      <c r="D20" s="1"/>
      <c r="E20" s="1"/>
      <c r="F20" s="50">
        <f t="shared" si="2"/>
        <v>0</v>
      </c>
      <c r="G20" s="1"/>
      <c r="H20" s="1"/>
      <c r="I20" s="51"/>
      <c r="J20" s="51">
        <f>653.4+419.9+360</f>
        <v>1433.3</v>
      </c>
      <c r="K20" s="51">
        <f>509.6+17+20.8+18.9+18.3+3.1+30.2+16.8</f>
        <v>634.6999999999999</v>
      </c>
      <c r="L20" s="50">
        <f t="shared" si="0"/>
        <v>2068</v>
      </c>
      <c r="M20" s="52">
        <f t="shared" si="1"/>
        <v>2068</v>
      </c>
      <c r="N20" s="60" t="s">
        <v>59</v>
      </c>
    </row>
    <row r="21" spans="1:14" ht="176.25" customHeight="1">
      <c r="A21" s="48">
        <v>14</v>
      </c>
      <c r="B21" s="68" t="s">
        <v>45</v>
      </c>
      <c r="C21" s="1"/>
      <c r="D21" s="1"/>
      <c r="E21" s="1"/>
      <c r="F21" s="50">
        <f t="shared" si="2"/>
        <v>0</v>
      </c>
      <c r="G21" s="1"/>
      <c r="H21" s="1"/>
      <c r="I21" s="51"/>
      <c r="J21" s="51">
        <f>680.5+132.8-282.3</f>
        <v>531</v>
      </c>
      <c r="K21" s="51">
        <f>420.5+5.5+6.5+6+5.8+1-215.9+6</f>
        <v>235.4</v>
      </c>
      <c r="L21" s="50">
        <f t="shared" si="0"/>
        <v>766.4</v>
      </c>
      <c r="M21" s="52">
        <f t="shared" si="1"/>
        <v>766.4</v>
      </c>
      <c r="N21" s="60" t="s">
        <v>75</v>
      </c>
    </row>
    <row r="22" spans="1:14" ht="85.5" customHeight="1">
      <c r="A22" s="48">
        <v>15</v>
      </c>
      <c r="B22" s="68" t="s">
        <v>51</v>
      </c>
      <c r="C22" s="1"/>
      <c r="D22" s="1"/>
      <c r="E22" s="1"/>
      <c r="F22" s="50">
        <f t="shared" si="2"/>
        <v>0</v>
      </c>
      <c r="G22" s="1"/>
      <c r="H22" s="1"/>
      <c r="I22" s="51"/>
      <c r="J22" s="51">
        <f>362.5+150+150</f>
        <v>662.5</v>
      </c>
      <c r="K22" s="51">
        <f>252.6+6.1+7.5+6.7+6.6+1.1+12.6+7</f>
        <v>300.20000000000005</v>
      </c>
      <c r="L22" s="50">
        <f t="shared" si="0"/>
        <v>962.7</v>
      </c>
      <c r="M22" s="52">
        <f t="shared" si="1"/>
        <v>962.7</v>
      </c>
      <c r="N22" s="60" t="s">
        <v>57</v>
      </c>
    </row>
    <row r="23" spans="1:14" ht="99" customHeight="1">
      <c r="A23" s="48">
        <v>16</v>
      </c>
      <c r="B23" s="68" t="s">
        <v>52</v>
      </c>
      <c r="C23" s="1"/>
      <c r="D23" s="1"/>
      <c r="E23" s="1"/>
      <c r="F23" s="50">
        <f t="shared" si="2"/>
        <v>0</v>
      </c>
      <c r="G23" s="1"/>
      <c r="H23" s="1"/>
      <c r="I23" s="51"/>
      <c r="J23" s="51">
        <f>954.5+124.5+124.5</f>
        <v>1203.5</v>
      </c>
      <c r="K23" s="51">
        <f>567.6+5+6.2+5.6+5.4+0.9+10.5+5.8</f>
        <v>607</v>
      </c>
      <c r="L23" s="50">
        <f t="shared" si="0"/>
        <v>1810.5</v>
      </c>
      <c r="M23" s="52">
        <f t="shared" si="1"/>
        <v>1810.5</v>
      </c>
      <c r="N23" s="60" t="s">
        <v>76</v>
      </c>
    </row>
    <row r="24" spans="1:14" ht="159.75" customHeight="1">
      <c r="A24" s="48">
        <v>17</v>
      </c>
      <c r="B24" s="68" t="s">
        <v>77</v>
      </c>
      <c r="C24" s="1"/>
      <c r="D24" s="1"/>
      <c r="E24" s="1"/>
      <c r="F24" s="50">
        <f t="shared" si="2"/>
        <v>0</v>
      </c>
      <c r="G24" s="1"/>
      <c r="H24" s="1"/>
      <c r="I24" s="51"/>
      <c r="J24" s="51">
        <v>555</v>
      </c>
      <c r="K24" s="51">
        <f>239.7+6.3</f>
        <v>246</v>
      </c>
      <c r="L24" s="50">
        <f t="shared" si="0"/>
        <v>801</v>
      </c>
      <c r="M24" s="52">
        <f t="shared" si="1"/>
        <v>801</v>
      </c>
      <c r="N24" s="60" t="s">
        <v>78</v>
      </c>
    </row>
    <row r="25" spans="1:14" ht="34.5" customHeight="1">
      <c r="A25" s="48">
        <v>18</v>
      </c>
      <c r="B25" s="68" t="s">
        <v>79</v>
      </c>
      <c r="C25" s="1"/>
      <c r="D25" s="1"/>
      <c r="E25" s="1"/>
      <c r="F25" s="50">
        <f t="shared" si="2"/>
        <v>0</v>
      </c>
      <c r="G25" s="1"/>
      <c r="H25" s="1"/>
      <c r="I25" s="51"/>
      <c r="J25" s="51">
        <v>660</v>
      </c>
      <c r="K25" s="51">
        <f>284.9+7.6</f>
        <v>292.5</v>
      </c>
      <c r="L25" s="50">
        <f t="shared" si="0"/>
        <v>952.5</v>
      </c>
      <c r="M25" s="52">
        <f t="shared" si="1"/>
        <v>952.5</v>
      </c>
      <c r="N25" s="60" t="s">
        <v>80</v>
      </c>
    </row>
    <row r="26" spans="1:14" ht="40.5" customHeight="1">
      <c r="A26" s="48">
        <v>19</v>
      </c>
      <c r="B26" s="68" t="s">
        <v>81</v>
      </c>
      <c r="C26" s="1"/>
      <c r="D26" s="1"/>
      <c r="E26" s="1"/>
      <c r="F26" s="50">
        <f t="shared" si="2"/>
        <v>0</v>
      </c>
      <c r="G26" s="1"/>
      <c r="H26" s="1"/>
      <c r="I26" s="51"/>
      <c r="J26" s="51">
        <v>558</v>
      </c>
      <c r="K26" s="51">
        <f>240.8+6.5</f>
        <v>247.3</v>
      </c>
      <c r="L26" s="50">
        <f t="shared" si="0"/>
        <v>805.3</v>
      </c>
      <c r="M26" s="52">
        <f t="shared" si="1"/>
        <v>805.3</v>
      </c>
      <c r="N26" s="60" t="s">
        <v>82</v>
      </c>
    </row>
    <row r="27" spans="1:14" ht="39.75" customHeight="1">
      <c r="A27" s="48">
        <v>20</v>
      </c>
      <c r="B27" s="68" t="s">
        <v>83</v>
      </c>
      <c r="C27" s="1"/>
      <c r="D27" s="1"/>
      <c r="E27" s="1"/>
      <c r="F27" s="50">
        <f t="shared" si="2"/>
        <v>0</v>
      </c>
      <c r="G27" s="1"/>
      <c r="H27" s="1"/>
      <c r="I27" s="51"/>
      <c r="J27" s="51">
        <v>541.8</v>
      </c>
      <c r="K27" s="51">
        <f>236.8+6</f>
        <v>242.8</v>
      </c>
      <c r="L27" s="50">
        <f t="shared" si="0"/>
        <v>784.5999999999999</v>
      </c>
      <c r="M27" s="52">
        <f t="shared" si="1"/>
        <v>784.5999999999999</v>
      </c>
      <c r="N27" s="60" t="s">
        <v>82</v>
      </c>
    </row>
    <row r="28" spans="1:14" ht="39.75" customHeight="1">
      <c r="A28" s="48">
        <v>21</v>
      </c>
      <c r="B28" s="68" t="s">
        <v>84</v>
      </c>
      <c r="C28" s="1"/>
      <c r="D28" s="1"/>
      <c r="E28" s="1"/>
      <c r="F28" s="50">
        <f t="shared" si="2"/>
        <v>0</v>
      </c>
      <c r="G28" s="1"/>
      <c r="H28" s="1"/>
      <c r="I28" s="51"/>
      <c r="J28" s="51">
        <v>654.4</v>
      </c>
      <c r="K28" s="51">
        <f>259.3+10.2</f>
        <v>269.5</v>
      </c>
      <c r="L28" s="50">
        <f aca="true" t="shared" si="3" ref="L28:L34">SUM(G28:K28)</f>
        <v>923.9</v>
      </c>
      <c r="M28" s="52">
        <f aca="true" t="shared" si="4" ref="M28:M34">L28+F28</f>
        <v>923.9</v>
      </c>
      <c r="N28" s="60" t="s">
        <v>82</v>
      </c>
    </row>
    <row r="29" spans="1:14" ht="39.75" customHeight="1">
      <c r="A29" s="48">
        <v>22</v>
      </c>
      <c r="B29" s="68" t="s">
        <v>85</v>
      </c>
      <c r="C29" s="1"/>
      <c r="D29" s="1"/>
      <c r="E29" s="1"/>
      <c r="F29" s="50">
        <f t="shared" si="2"/>
        <v>0</v>
      </c>
      <c r="G29" s="1"/>
      <c r="H29" s="1"/>
      <c r="I29" s="51"/>
      <c r="J29" s="51">
        <v>533.3</v>
      </c>
      <c r="K29" s="51">
        <f>229.7+6.3</f>
        <v>236</v>
      </c>
      <c r="L29" s="50">
        <f t="shared" si="3"/>
        <v>769.3</v>
      </c>
      <c r="M29" s="52">
        <f t="shared" si="4"/>
        <v>769.3</v>
      </c>
      <c r="N29" s="60" t="s">
        <v>82</v>
      </c>
    </row>
    <row r="30" spans="1:14" ht="39.75" customHeight="1">
      <c r="A30" s="48">
        <v>23</v>
      </c>
      <c r="B30" s="68" t="s">
        <v>86</v>
      </c>
      <c r="C30" s="1"/>
      <c r="D30" s="1"/>
      <c r="E30" s="1"/>
      <c r="F30" s="50">
        <f t="shared" si="2"/>
        <v>0</v>
      </c>
      <c r="G30" s="1"/>
      <c r="H30" s="1"/>
      <c r="I30" s="51"/>
      <c r="J30" s="51">
        <v>514.6</v>
      </c>
      <c r="K30" s="51">
        <f>219.5+6.2</f>
        <v>225.7</v>
      </c>
      <c r="L30" s="50">
        <f t="shared" si="3"/>
        <v>740.3</v>
      </c>
      <c r="M30" s="52">
        <f t="shared" si="4"/>
        <v>740.3</v>
      </c>
      <c r="N30" s="60" t="s">
        <v>82</v>
      </c>
    </row>
    <row r="31" spans="1:14" ht="39.75" customHeight="1">
      <c r="A31" s="48">
        <v>24</v>
      </c>
      <c r="B31" s="68" t="s">
        <v>87</v>
      </c>
      <c r="C31" s="1"/>
      <c r="D31" s="1"/>
      <c r="E31" s="1"/>
      <c r="F31" s="50">
        <f t="shared" si="2"/>
        <v>0</v>
      </c>
      <c r="G31" s="1"/>
      <c r="H31" s="1"/>
      <c r="I31" s="51"/>
      <c r="J31" s="51">
        <v>540</v>
      </c>
      <c r="K31" s="51">
        <f>212.2+8.4</f>
        <v>220.6</v>
      </c>
      <c r="L31" s="50">
        <f t="shared" si="3"/>
        <v>760.6</v>
      </c>
      <c r="M31" s="52">
        <f t="shared" si="4"/>
        <v>760.6</v>
      </c>
      <c r="N31" s="60" t="s">
        <v>88</v>
      </c>
    </row>
    <row r="32" spans="1:14" ht="39.75" customHeight="1">
      <c r="A32" s="48">
        <v>25</v>
      </c>
      <c r="B32" s="68" t="s">
        <v>89</v>
      </c>
      <c r="C32" s="1"/>
      <c r="D32" s="1"/>
      <c r="E32" s="1"/>
      <c r="F32" s="50">
        <f t="shared" si="2"/>
        <v>0</v>
      </c>
      <c r="G32" s="1"/>
      <c r="H32" s="1"/>
      <c r="I32" s="51"/>
      <c r="J32" s="51">
        <v>885.5</v>
      </c>
      <c r="K32" s="51">
        <f>341.4+13.9</f>
        <v>355.29999999999995</v>
      </c>
      <c r="L32" s="50">
        <f t="shared" si="3"/>
        <v>1240.8</v>
      </c>
      <c r="M32" s="52">
        <f t="shared" si="4"/>
        <v>1240.8</v>
      </c>
      <c r="N32" s="60" t="s">
        <v>90</v>
      </c>
    </row>
    <row r="33" spans="1:14" ht="39.75" customHeight="1">
      <c r="A33" s="48">
        <v>26</v>
      </c>
      <c r="B33" s="68" t="s">
        <v>91</v>
      </c>
      <c r="C33" s="1"/>
      <c r="D33" s="1"/>
      <c r="E33" s="1"/>
      <c r="F33" s="50">
        <f t="shared" si="2"/>
        <v>0</v>
      </c>
      <c r="G33" s="1"/>
      <c r="H33" s="1"/>
      <c r="I33" s="51"/>
      <c r="J33" s="51">
        <v>692.5</v>
      </c>
      <c r="K33" s="51">
        <f>308.3+7</f>
        <v>315.3</v>
      </c>
      <c r="L33" s="50">
        <f t="shared" si="3"/>
        <v>1007.8</v>
      </c>
      <c r="M33" s="52">
        <f t="shared" si="4"/>
        <v>1007.8</v>
      </c>
      <c r="N33" s="60" t="s">
        <v>90</v>
      </c>
    </row>
    <row r="34" spans="1:14" ht="39.75" customHeight="1">
      <c r="A34" s="48">
        <v>27</v>
      </c>
      <c r="B34" s="68" t="s">
        <v>92</v>
      </c>
      <c r="C34" s="1"/>
      <c r="D34" s="1"/>
      <c r="E34" s="1"/>
      <c r="F34" s="50">
        <f t="shared" si="2"/>
        <v>0</v>
      </c>
      <c r="G34" s="1"/>
      <c r="H34" s="1"/>
      <c r="I34" s="51"/>
      <c r="J34" s="51">
        <v>573.1</v>
      </c>
      <c r="K34" s="51">
        <f>190.1+12</f>
        <v>202.1</v>
      </c>
      <c r="L34" s="50">
        <f t="shared" si="3"/>
        <v>775.2</v>
      </c>
      <c r="M34" s="52">
        <f t="shared" si="4"/>
        <v>775.2</v>
      </c>
      <c r="N34" s="60" t="s">
        <v>90</v>
      </c>
    </row>
    <row r="35" spans="1:14" ht="39" customHeight="1">
      <c r="A35" s="48">
        <v>28</v>
      </c>
      <c r="B35" s="68" t="s">
        <v>93</v>
      </c>
      <c r="C35" s="1"/>
      <c r="D35" s="1"/>
      <c r="E35" s="1"/>
      <c r="F35" s="50">
        <f t="shared" si="2"/>
        <v>0</v>
      </c>
      <c r="G35" s="1"/>
      <c r="H35" s="1"/>
      <c r="I35" s="51"/>
      <c r="J35" s="51">
        <v>525.3</v>
      </c>
      <c r="K35" s="51">
        <f>173.4+11.1</f>
        <v>184.5</v>
      </c>
      <c r="L35" s="50">
        <f aca="true" t="shared" si="5" ref="L35:L41">SUM(G35:K35)</f>
        <v>709.8</v>
      </c>
      <c r="M35" s="52">
        <f aca="true" t="shared" si="6" ref="M35:M40">L35+F35</f>
        <v>709.8</v>
      </c>
      <c r="N35" s="60" t="s">
        <v>90</v>
      </c>
    </row>
    <row r="36" spans="1:14" ht="56.25" customHeight="1">
      <c r="A36" s="48">
        <v>29</v>
      </c>
      <c r="B36" s="68" t="s">
        <v>94</v>
      </c>
      <c r="C36" s="1"/>
      <c r="D36" s="1"/>
      <c r="E36" s="1"/>
      <c r="F36" s="50">
        <f t="shared" si="2"/>
        <v>0</v>
      </c>
      <c r="G36" s="1">
        <v>512.4</v>
      </c>
      <c r="H36" s="1"/>
      <c r="I36" s="51"/>
      <c r="J36" s="51"/>
      <c r="K36" s="51">
        <f>437.7+6.8</f>
        <v>444.5</v>
      </c>
      <c r="L36" s="50">
        <f t="shared" si="5"/>
        <v>956.9</v>
      </c>
      <c r="M36" s="52">
        <f t="shared" si="6"/>
        <v>956.9</v>
      </c>
      <c r="N36" s="60" t="s">
        <v>95</v>
      </c>
    </row>
    <row r="37" spans="1:14" ht="36">
      <c r="A37" s="48">
        <v>30</v>
      </c>
      <c r="B37" s="69" t="s">
        <v>38</v>
      </c>
      <c r="C37" s="1"/>
      <c r="D37" s="1"/>
      <c r="E37" s="1"/>
      <c r="F37" s="50">
        <f t="shared" si="2"/>
        <v>0</v>
      </c>
      <c r="G37" s="66">
        <f>900.3+95.7</f>
        <v>996</v>
      </c>
      <c r="H37" s="1"/>
      <c r="I37" s="51"/>
      <c r="J37" s="51"/>
      <c r="K37" s="51">
        <f>700.2+7.8+9.5+8.3+8.7+9.1+8.4+8.6</f>
        <v>760.6</v>
      </c>
      <c r="L37" s="50">
        <f t="shared" si="5"/>
        <v>1756.6</v>
      </c>
      <c r="M37" s="52">
        <f t="shared" si="6"/>
        <v>1756.6</v>
      </c>
      <c r="N37" s="60" t="s">
        <v>60</v>
      </c>
    </row>
    <row r="38" spans="1:14" ht="36">
      <c r="A38" s="48">
        <v>31</v>
      </c>
      <c r="B38" s="69" t="s">
        <v>39</v>
      </c>
      <c r="C38" s="48">
        <f>1925.9+3.8</f>
        <v>1929.7</v>
      </c>
      <c r="D38" s="1"/>
      <c r="E38" s="53">
        <f>820.3+24.7+30.2+26.4+27.4+29.2+23.5+12.7</f>
        <v>994.4000000000001</v>
      </c>
      <c r="F38" s="50">
        <f t="shared" si="2"/>
        <v>2924.1000000000004</v>
      </c>
      <c r="G38" s="66">
        <f>3520.1+7.9</f>
        <v>3528</v>
      </c>
      <c r="H38" s="1"/>
      <c r="I38" s="51"/>
      <c r="J38" s="51"/>
      <c r="K38" s="51">
        <f>67+141.6+173.2+152.1+157.4+167.9+152.1+157.4</f>
        <v>1168.7</v>
      </c>
      <c r="L38" s="50">
        <f t="shared" si="5"/>
        <v>4696.7</v>
      </c>
      <c r="M38" s="52">
        <f t="shared" si="6"/>
        <v>7620.8</v>
      </c>
      <c r="N38" s="60" t="s">
        <v>60</v>
      </c>
    </row>
    <row r="39" spans="1:14" ht="36">
      <c r="A39" s="48">
        <v>32</v>
      </c>
      <c r="B39" s="70" t="s">
        <v>96</v>
      </c>
      <c r="C39" s="48"/>
      <c r="D39" s="1"/>
      <c r="E39" s="53"/>
      <c r="F39" s="50">
        <f t="shared" si="2"/>
        <v>0</v>
      </c>
      <c r="G39" s="66">
        <v>527.3</v>
      </c>
      <c r="H39" s="1"/>
      <c r="I39" s="51"/>
      <c r="J39" s="51"/>
      <c r="K39" s="51">
        <v>262.6</v>
      </c>
      <c r="L39" s="50">
        <f t="shared" si="5"/>
        <v>789.9</v>
      </c>
      <c r="M39" s="52">
        <f t="shared" si="6"/>
        <v>789.9</v>
      </c>
      <c r="N39" s="60" t="s">
        <v>102</v>
      </c>
    </row>
    <row r="40" spans="1:14" ht="36">
      <c r="A40" s="48">
        <v>33</v>
      </c>
      <c r="B40" s="70" t="s">
        <v>97</v>
      </c>
      <c r="C40" s="48"/>
      <c r="D40" s="1"/>
      <c r="E40" s="53"/>
      <c r="F40" s="50">
        <f t="shared" si="2"/>
        <v>0</v>
      </c>
      <c r="G40" s="66">
        <v>652.4</v>
      </c>
      <c r="H40" s="1"/>
      <c r="I40" s="51"/>
      <c r="J40" s="51"/>
      <c r="K40" s="51">
        <f>86.4+29.3</f>
        <v>115.7</v>
      </c>
      <c r="L40" s="50">
        <f t="shared" si="5"/>
        <v>768.1</v>
      </c>
      <c r="M40" s="52">
        <f t="shared" si="6"/>
        <v>768.1</v>
      </c>
      <c r="N40" s="60" t="s">
        <v>98</v>
      </c>
    </row>
    <row r="41" spans="1:14" ht="14.25">
      <c r="A41" s="74" t="s">
        <v>3</v>
      </c>
      <c r="B41" s="75"/>
      <c r="C41" s="54">
        <f aca="true" t="shared" si="7" ref="C41:K41">SUM(C8:C40)</f>
        <v>1929.7</v>
      </c>
      <c r="D41" s="54">
        <f t="shared" si="7"/>
        <v>0</v>
      </c>
      <c r="E41" s="54">
        <f t="shared" si="7"/>
        <v>994.4000000000001</v>
      </c>
      <c r="F41" s="54">
        <f t="shared" si="7"/>
        <v>2924.1000000000004</v>
      </c>
      <c r="G41" s="54">
        <f t="shared" si="7"/>
        <v>6216.099999999999</v>
      </c>
      <c r="H41" s="54">
        <f t="shared" si="7"/>
        <v>0</v>
      </c>
      <c r="I41" s="54">
        <f t="shared" si="7"/>
        <v>5897.800000000001</v>
      </c>
      <c r="J41" s="54">
        <f t="shared" si="7"/>
        <v>14230.799999999997</v>
      </c>
      <c r="K41" s="54">
        <f t="shared" si="7"/>
        <v>11951.4</v>
      </c>
      <c r="L41" s="54">
        <f t="shared" si="5"/>
        <v>38296.1</v>
      </c>
      <c r="M41" s="54">
        <f>SUM(M8:M40)</f>
        <v>41220.2</v>
      </c>
      <c r="N41" s="28"/>
    </row>
    <row r="42" spans="1:14" ht="14.25">
      <c r="A42" s="55">
        <v>2</v>
      </c>
      <c r="B42" s="49" t="s">
        <v>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51">
      <c r="A43" s="62">
        <v>1</v>
      </c>
      <c r="B43" s="67" t="s">
        <v>62</v>
      </c>
      <c r="C43" s="63"/>
      <c r="D43" s="63"/>
      <c r="E43" s="63"/>
      <c r="F43" s="63">
        <f>SUM(C43:E43)</f>
        <v>0</v>
      </c>
      <c r="G43" s="63">
        <v>570.7</v>
      </c>
      <c r="H43" s="63"/>
      <c r="I43" s="63"/>
      <c r="J43" s="63"/>
      <c r="K43" s="63">
        <f>586.7+13.1+6.4</f>
        <v>606.2</v>
      </c>
      <c r="L43" s="63">
        <f>SUM(G43:K43)</f>
        <v>1176.9</v>
      </c>
      <c r="M43" s="63">
        <f>SUM(L43,F43)</f>
        <v>1176.9</v>
      </c>
      <c r="N43" s="65" t="s">
        <v>63</v>
      </c>
    </row>
    <row r="44" spans="1:14" ht="14.25">
      <c r="A44" s="74" t="s">
        <v>3</v>
      </c>
      <c r="B44" s="75"/>
      <c r="C44" s="54">
        <f aca="true" t="shared" si="8" ref="C44:M44">SUM(C43:C43)</f>
        <v>0</v>
      </c>
      <c r="D44" s="54">
        <f t="shared" si="8"/>
        <v>0</v>
      </c>
      <c r="E44" s="54">
        <f t="shared" si="8"/>
        <v>0</v>
      </c>
      <c r="F44" s="54">
        <f t="shared" si="8"/>
        <v>0</v>
      </c>
      <c r="G44" s="54">
        <f t="shared" si="8"/>
        <v>570.7</v>
      </c>
      <c r="H44" s="54">
        <f t="shared" si="8"/>
        <v>0</v>
      </c>
      <c r="I44" s="54">
        <f t="shared" si="8"/>
        <v>0</v>
      </c>
      <c r="J44" s="54">
        <f t="shared" si="8"/>
        <v>0</v>
      </c>
      <c r="K44" s="54">
        <f t="shared" si="8"/>
        <v>606.2</v>
      </c>
      <c r="L44" s="54">
        <f t="shared" si="8"/>
        <v>1176.9</v>
      </c>
      <c r="M44" s="54">
        <f t="shared" si="8"/>
        <v>1176.9</v>
      </c>
      <c r="N44" s="28"/>
    </row>
    <row r="45" spans="1:14" ht="14.25">
      <c r="A45" s="55">
        <v>3</v>
      </c>
      <c r="B45" s="49" t="s">
        <v>25</v>
      </c>
      <c r="C45" s="56"/>
      <c r="D45" s="56"/>
      <c r="E45" s="56"/>
      <c r="F45" s="50"/>
      <c r="G45" s="56"/>
      <c r="H45" s="56"/>
      <c r="I45" s="56"/>
      <c r="J45" s="56"/>
      <c r="K45" s="56"/>
      <c r="L45" s="50"/>
      <c r="M45" s="52"/>
      <c r="N45" s="61"/>
    </row>
    <row r="46" spans="1:14" ht="99.75" customHeight="1">
      <c r="A46" s="48">
        <v>1</v>
      </c>
      <c r="B46" s="57" t="s">
        <v>29</v>
      </c>
      <c r="C46" s="56"/>
      <c r="D46" s="56">
        <f>356.6+284.9-6-3+281.1</f>
        <v>913.6</v>
      </c>
      <c r="E46" s="56">
        <f>299.5+9.6+4.8+15.6+4.8</f>
        <v>334.30000000000007</v>
      </c>
      <c r="F46" s="50">
        <f>SUM(C46:E46)</f>
        <v>1247.9</v>
      </c>
      <c r="G46" s="56"/>
      <c r="H46" s="56"/>
      <c r="I46" s="56"/>
      <c r="J46" s="56"/>
      <c r="K46" s="56"/>
      <c r="L46" s="50">
        <f>SUM(G46:K46)</f>
        <v>0</v>
      </c>
      <c r="M46" s="52">
        <f>L46+F46</f>
        <v>1247.9</v>
      </c>
      <c r="N46" s="60" t="s">
        <v>103</v>
      </c>
    </row>
    <row r="47" spans="1:14" ht="30" customHeight="1">
      <c r="A47" s="74" t="s">
        <v>3</v>
      </c>
      <c r="B47" s="75"/>
      <c r="C47" s="54">
        <f>SUM(C46)</f>
        <v>0</v>
      </c>
      <c r="D47" s="54">
        <f>SUM(D46)</f>
        <v>913.6</v>
      </c>
      <c r="E47" s="54">
        <f>SUM(E46)</f>
        <v>334.30000000000007</v>
      </c>
      <c r="F47" s="54">
        <f>SUM(C47:E47)</f>
        <v>1247.9</v>
      </c>
      <c r="G47" s="54">
        <f>SUM(G46)</f>
        <v>0</v>
      </c>
      <c r="H47" s="54">
        <f>SUM(H46)</f>
        <v>0</v>
      </c>
      <c r="I47" s="54">
        <f>SUM(I46)</f>
        <v>0</v>
      </c>
      <c r="J47" s="54">
        <f>SUM(J46)</f>
        <v>0</v>
      </c>
      <c r="K47" s="54">
        <f>SUM(K46)</f>
        <v>0</v>
      </c>
      <c r="L47" s="54">
        <f>SUM(G47:K47)</f>
        <v>0</v>
      </c>
      <c r="M47" s="54">
        <f>SUM(M45:M46)</f>
        <v>1247.9</v>
      </c>
      <c r="N47" s="60"/>
    </row>
    <row r="48" spans="1:14" ht="14.25">
      <c r="A48" s="55">
        <v>4</v>
      </c>
      <c r="B48" s="49" t="s">
        <v>26</v>
      </c>
      <c r="C48" s="56"/>
      <c r="D48" s="58"/>
      <c r="E48" s="58"/>
      <c r="F48" s="50"/>
      <c r="G48" s="56"/>
      <c r="H48" s="56"/>
      <c r="I48" s="56"/>
      <c r="J48" s="56"/>
      <c r="K48" s="56"/>
      <c r="L48" s="50"/>
      <c r="M48" s="52"/>
      <c r="N48" s="61"/>
    </row>
    <row r="49" spans="1:14" ht="60" customHeight="1">
      <c r="A49" s="48">
        <v>1</v>
      </c>
      <c r="B49" s="57" t="s">
        <v>27</v>
      </c>
      <c r="C49" s="56"/>
      <c r="D49" s="56">
        <f>460.7+293.3-214.1+66.7</f>
        <v>606.6</v>
      </c>
      <c r="E49" s="56">
        <f>177.3+42.7+30.8+5.6</f>
        <v>256.40000000000003</v>
      </c>
      <c r="F49" s="50">
        <f>SUM(C49:E49)</f>
        <v>863</v>
      </c>
      <c r="G49" s="56"/>
      <c r="H49" s="56"/>
      <c r="I49" s="56"/>
      <c r="J49" s="56"/>
      <c r="K49" s="56"/>
      <c r="L49" s="50">
        <f>SUM(G49:K49)</f>
        <v>0</v>
      </c>
      <c r="M49" s="52">
        <f>L49+F49</f>
        <v>863</v>
      </c>
      <c r="N49" s="60" t="s">
        <v>65</v>
      </c>
    </row>
    <row r="50" spans="1:14" ht="60" customHeight="1">
      <c r="A50" s="48">
        <v>2</v>
      </c>
      <c r="B50" s="57" t="s">
        <v>64</v>
      </c>
      <c r="C50" s="56"/>
      <c r="D50" s="56">
        <v>664.2</v>
      </c>
      <c r="E50" s="56">
        <v>311.3</v>
      </c>
      <c r="F50" s="50">
        <f>SUM(C50:E50)</f>
        <v>975.5</v>
      </c>
      <c r="G50" s="56"/>
      <c r="H50" s="56"/>
      <c r="I50" s="56"/>
      <c r="J50" s="56"/>
      <c r="K50" s="56"/>
      <c r="L50" s="50">
        <f>SUM(G50:K50)</f>
        <v>0</v>
      </c>
      <c r="M50" s="52">
        <f>L50+F50</f>
        <v>975.5</v>
      </c>
      <c r="N50" s="60" t="s">
        <v>65</v>
      </c>
    </row>
    <row r="51" spans="1:14" ht="14.25">
      <c r="A51" s="74" t="s">
        <v>3</v>
      </c>
      <c r="B51" s="75"/>
      <c r="C51" s="54">
        <f aca="true" t="shared" si="9" ref="C51:K51">SUM(C49:C50)</f>
        <v>0</v>
      </c>
      <c r="D51" s="54">
        <f t="shared" si="9"/>
        <v>1270.8000000000002</v>
      </c>
      <c r="E51" s="54">
        <f t="shared" si="9"/>
        <v>567.7</v>
      </c>
      <c r="F51" s="54">
        <f t="shared" si="9"/>
        <v>1838.5</v>
      </c>
      <c r="G51" s="54">
        <f t="shared" si="9"/>
        <v>0</v>
      </c>
      <c r="H51" s="54">
        <f t="shared" si="9"/>
        <v>0</v>
      </c>
      <c r="I51" s="54">
        <f t="shared" si="9"/>
        <v>0</v>
      </c>
      <c r="J51" s="54">
        <f t="shared" si="9"/>
        <v>0</v>
      </c>
      <c r="K51" s="54">
        <f t="shared" si="9"/>
        <v>0</v>
      </c>
      <c r="L51" s="54">
        <f>SUM(G51:K51)</f>
        <v>0</v>
      </c>
      <c r="M51" s="54">
        <f>SUM(M49:M50)</f>
        <v>1838.5</v>
      </c>
      <c r="N51" s="17"/>
    </row>
    <row r="52" spans="1:14" ht="55.5" customHeight="1">
      <c r="A52" s="76" t="s">
        <v>4</v>
      </c>
      <c r="B52" s="77"/>
      <c r="C52" s="59">
        <f aca="true" t="shared" si="10" ref="C52:M52">SUM(C51+C47+C44+C41)</f>
        <v>1929.7</v>
      </c>
      <c r="D52" s="59">
        <f t="shared" si="10"/>
        <v>2184.4</v>
      </c>
      <c r="E52" s="59">
        <f t="shared" si="10"/>
        <v>1896.4</v>
      </c>
      <c r="F52" s="59">
        <f t="shared" si="10"/>
        <v>6010.5</v>
      </c>
      <c r="G52" s="59">
        <f t="shared" si="10"/>
        <v>6786.799999999999</v>
      </c>
      <c r="H52" s="59">
        <f t="shared" si="10"/>
        <v>0</v>
      </c>
      <c r="I52" s="59">
        <f t="shared" si="10"/>
        <v>5897.800000000001</v>
      </c>
      <c r="J52" s="59">
        <f t="shared" si="10"/>
        <v>14230.799999999997</v>
      </c>
      <c r="K52" s="59">
        <f t="shared" si="10"/>
        <v>12557.6</v>
      </c>
      <c r="L52" s="59">
        <f t="shared" si="10"/>
        <v>39473</v>
      </c>
      <c r="M52" s="59">
        <f t="shared" si="10"/>
        <v>45483.5</v>
      </c>
      <c r="N52" s="28"/>
    </row>
    <row r="53" spans="3:13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3:13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</sheetData>
  <sheetProtection/>
  <mergeCells count="17">
    <mergeCell ref="A2:N2"/>
    <mergeCell ref="N4:N5"/>
    <mergeCell ref="A4:A5"/>
    <mergeCell ref="C4:D4"/>
    <mergeCell ref="M4:M5"/>
    <mergeCell ref="B4:B5"/>
    <mergeCell ref="G5:H5"/>
    <mergeCell ref="I5:J5"/>
    <mergeCell ref="L4:L5"/>
    <mergeCell ref="F4:F5"/>
    <mergeCell ref="E4:E5"/>
    <mergeCell ref="K4:K5"/>
    <mergeCell ref="A51:B51"/>
    <mergeCell ref="A52:B52"/>
    <mergeCell ref="A41:B41"/>
    <mergeCell ref="A47:B47"/>
    <mergeCell ref="A44:B44"/>
  </mergeCells>
  <printOptions/>
  <pageMargins left="0" right="0" top="0.5905511811023623" bottom="0.1968503937007874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9" sqref="L9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105" t="s">
        <v>100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97" t="s">
        <v>0</v>
      </c>
      <c r="B4" s="98" t="s">
        <v>1</v>
      </c>
      <c r="C4" s="95" t="s">
        <v>16</v>
      </c>
      <c r="D4" s="100"/>
      <c r="E4" s="101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7" t="s">
        <v>22</v>
      </c>
      <c r="K4" s="103" t="s">
        <v>2</v>
      </c>
      <c r="L4" s="94" t="s">
        <v>15</v>
      </c>
    </row>
    <row r="5" spans="1:12" ht="34.5" customHeight="1">
      <c r="A5" s="97"/>
      <c r="B5" s="99"/>
      <c r="C5" s="1" t="s">
        <v>14</v>
      </c>
      <c r="D5" s="1" t="s">
        <v>9</v>
      </c>
      <c r="E5" s="102"/>
      <c r="F5" s="95" t="s">
        <v>8</v>
      </c>
      <c r="G5" s="96"/>
      <c r="H5" s="95" t="s">
        <v>13</v>
      </c>
      <c r="I5" s="96"/>
      <c r="J5" s="88"/>
      <c r="K5" s="104"/>
      <c r="L5" s="94"/>
    </row>
    <row r="6" spans="1:12" ht="17.25">
      <c r="A6" s="35">
        <v>1</v>
      </c>
      <c r="B6" s="32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2" ht="60.75" customHeight="1">
      <c r="A7" s="34">
        <v>1</v>
      </c>
      <c r="B7" s="27" t="s">
        <v>40</v>
      </c>
      <c r="C7" s="2"/>
      <c r="D7" s="2">
        <f>1190.3+59+177</f>
        <v>1426.3</v>
      </c>
      <c r="E7" s="10">
        <f>C7+D7</f>
        <v>1426.3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1426.3</v>
      </c>
      <c r="L7" s="37" t="s">
        <v>53</v>
      </c>
    </row>
    <row r="8" spans="1:12" ht="70.5" customHeight="1">
      <c r="A8" s="34">
        <v>2</v>
      </c>
      <c r="B8" s="71" t="s">
        <v>41</v>
      </c>
      <c r="C8" s="13"/>
      <c r="D8" s="13">
        <v>2804.1</v>
      </c>
      <c r="E8" s="29">
        <f>C8+D8</f>
        <v>2804.1</v>
      </c>
      <c r="F8" s="13"/>
      <c r="G8" s="13"/>
      <c r="H8" s="13"/>
      <c r="I8" s="13"/>
      <c r="J8" s="30">
        <f t="shared" si="0"/>
        <v>0</v>
      </c>
      <c r="K8" s="31">
        <f>J8+E8</f>
        <v>2804.1</v>
      </c>
      <c r="L8" s="37" t="s">
        <v>43</v>
      </c>
    </row>
    <row r="9" spans="1:12" ht="57" customHeight="1">
      <c r="A9" s="92" t="s">
        <v>3</v>
      </c>
      <c r="B9" s="93"/>
      <c r="C9" s="14">
        <f>SUM(C7:C8)</f>
        <v>0</v>
      </c>
      <c r="D9" s="14">
        <f>SUM(D7:D8)</f>
        <v>4230.4</v>
      </c>
      <c r="E9" s="18">
        <f>C9+D9</f>
        <v>4230.4</v>
      </c>
      <c r="F9" s="14"/>
      <c r="G9" s="14"/>
      <c r="H9" s="14"/>
      <c r="I9" s="14"/>
      <c r="J9" s="19">
        <f t="shared" si="0"/>
        <v>0</v>
      </c>
      <c r="K9" s="20">
        <f>J9+E9</f>
        <v>4230.4</v>
      </c>
      <c r="L9" s="60"/>
    </row>
    <row r="10" spans="1:12" ht="16.5" customHeight="1">
      <c r="A10" s="41">
        <v>2</v>
      </c>
      <c r="B10" s="33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8"/>
    </row>
    <row r="11" spans="1:12" ht="101.25" customHeight="1">
      <c r="A11" s="36">
        <v>1</v>
      </c>
      <c r="B11" s="42" t="s">
        <v>28</v>
      </c>
      <c r="C11" s="13">
        <v>2675.9</v>
      </c>
      <c r="D11" s="13"/>
      <c r="E11" s="29">
        <f>SUM(C11:D11)</f>
        <v>2675.9</v>
      </c>
      <c r="F11" s="13"/>
      <c r="G11" s="13"/>
      <c r="H11" s="13"/>
      <c r="I11" s="13"/>
      <c r="J11" s="30">
        <f>SUM(F11:I11)</f>
        <v>0</v>
      </c>
      <c r="K11" s="31">
        <f>J11+E11</f>
        <v>2675.9</v>
      </c>
      <c r="L11" s="37" t="s">
        <v>44</v>
      </c>
    </row>
    <row r="12" spans="1:12" ht="27.75" customHeight="1">
      <c r="A12" s="92" t="s">
        <v>3</v>
      </c>
      <c r="B12" s="93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8"/>
    </row>
    <row r="13" spans="1:12" ht="15" customHeight="1">
      <c r="A13" s="35">
        <v>3</v>
      </c>
      <c r="B13" s="33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8"/>
    </row>
    <row r="14" spans="1:12" ht="84" customHeight="1">
      <c r="A14" s="34">
        <v>1</v>
      </c>
      <c r="B14" s="27" t="s">
        <v>42</v>
      </c>
      <c r="C14" s="2"/>
      <c r="D14" s="13">
        <f>902.5+205+205</f>
        <v>1312.5</v>
      </c>
      <c r="E14" s="29">
        <f>C14+D14</f>
        <v>1312.5</v>
      </c>
      <c r="F14" s="2"/>
      <c r="G14" s="2"/>
      <c r="H14" s="2"/>
      <c r="I14" s="2"/>
      <c r="J14" s="30">
        <f t="shared" si="0"/>
        <v>0</v>
      </c>
      <c r="K14" s="31">
        <f>J14+E14</f>
        <v>1312.5</v>
      </c>
      <c r="L14" s="37" t="s">
        <v>66</v>
      </c>
    </row>
    <row r="15" spans="1:12" ht="17.25">
      <c r="A15" s="92" t="s">
        <v>3</v>
      </c>
      <c r="B15" s="93"/>
      <c r="C15" s="15">
        <f>SUM(C14)</f>
        <v>0</v>
      </c>
      <c r="D15" s="15">
        <f>SUM(D14)</f>
        <v>1312.5</v>
      </c>
      <c r="E15" s="23">
        <f>SUM(C15:D15)</f>
        <v>1312.5</v>
      </c>
      <c r="F15" s="24"/>
      <c r="G15" s="24"/>
      <c r="H15" s="24"/>
      <c r="I15" s="24"/>
      <c r="J15" s="25"/>
      <c r="K15" s="26">
        <f>SUM(K14)</f>
        <v>1312.5</v>
      </c>
      <c r="L15" s="16"/>
    </row>
    <row r="16" spans="1:12" ht="48" customHeight="1">
      <c r="A16" s="90" t="s">
        <v>4</v>
      </c>
      <c r="B16" s="91"/>
      <c r="C16" s="21">
        <f>C15+C12+C9</f>
        <v>2675.9</v>
      </c>
      <c r="D16" s="21">
        <f aca="true" t="shared" si="1" ref="D16:K16">D15+D12+D9</f>
        <v>5542.9</v>
      </c>
      <c r="E16" s="21">
        <f t="shared" si="1"/>
        <v>8218.8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8218.8</v>
      </c>
      <c r="L16" s="60"/>
    </row>
    <row r="17" spans="3:11" ht="12.75">
      <c r="C17" s="40"/>
      <c r="D17" s="40"/>
      <c r="E17" s="40"/>
      <c r="F17" s="40"/>
      <c r="G17" s="40"/>
      <c r="H17" s="40"/>
      <c r="I17" s="40"/>
      <c r="J17" s="40"/>
      <c r="K17" s="40"/>
    </row>
  </sheetData>
  <sheetProtection/>
  <mergeCells count="14">
    <mergeCell ref="J4:J5"/>
    <mergeCell ref="K4:K5"/>
    <mergeCell ref="A2:L2"/>
    <mergeCell ref="A15:B15"/>
    <mergeCell ref="A16:B16"/>
    <mergeCell ref="A12:B12"/>
    <mergeCell ref="A9:B9"/>
    <mergeCell ref="L4:L5"/>
    <mergeCell ref="F5:G5"/>
    <mergeCell ref="H5:I5"/>
    <mergeCell ref="A4:A5"/>
    <mergeCell ref="B4:B5"/>
    <mergeCell ref="C4:D4"/>
    <mergeCell ref="E4:E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2016-03-01T05:08:02Z</cp:lastPrinted>
  <dcterms:created xsi:type="dcterms:W3CDTF">1996-10-14T23:33:28Z</dcterms:created>
  <dcterms:modified xsi:type="dcterms:W3CDTF">2016-03-01T05:08:04Z</dcterms:modified>
  <cp:category/>
  <cp:version/>
  <cp:contentType/>
  <cp:contentStatus/>
</cp:coreProperties>
</file>