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<sst xmlns="http://schemas.openxmlformats.org/spreadsheetml/2006/main" count="160" uniqueCount="120">
  <si>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</si>
  <si>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</si>
  <si>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</si>
  <si>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</si>
  <si>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</si>
  <si>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</si>
  <si>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</si>
  <si>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</si>
  <si>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</si>
  <si>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</si>
  <si>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</si>
  <si>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</si>
  <si>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</si>
  <si>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</si>
  <si>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</si>
  <si>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</si>
  <si>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</si>
  <si>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</si>
  <si>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</si>
  <si>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</si>
  <si>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</si>
  <si>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</si>
  <si>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</si>
  <si>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</si>
  <si>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</si>
  <si>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</si>
  <si>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Հովսեփյան Վարդան</t>
  </si>
  <si>
    <t>&lt;&lt; Արթիկ տուֆ&gt;&gt; ՓԲԸ</t>
  </si>
  <si>
    <t>Սարգսյան Սուրեն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</si>
  <si>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</si>
  <si>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</si>
  <si>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</si>
  <si>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</si>
  <si>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</si>
  <si>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</si>
  <si>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</si>
  <si>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</si>
  <si>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</si>
  <si>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</si>
  <si>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</si>
  <si>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</si>
  <si>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</si>
  <si>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</si>
  <si>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</si>
  <si>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</si>
  <si>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</si>
  <si>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</si>
  <si>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</si>
  <si>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</si>
  <si>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</si>
  <si>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</si>
  <si>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</si>
  <si>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</si>
  <si>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</si>
  <si>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</si>
  <si>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</si>
  <si>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</si>
  <si>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</si>
  <si>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Հակոբյան Հակոբ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</si>
  <si>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</si>
  <si>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</si>
  <si>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</si>
  <si>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</si>
  <si>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</si>
  <si>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</si>
  <si>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</si>
  <si>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</si>
  <si>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</si>
  <si>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</si>
  <si>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</si>
  <si>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Եղիազարյան Սամվել</t>
  </si>
  <si>
    <t>Աբրահամյան Վարդգես</t>
  </si>
  <si>
    <t>Ուղարկվել է նախազգուշացում</t>
  </si>
  <si>
    <t>&lt;&lt;Մարիամ - 79&gt;&gt; ՍՊԸ</t>
  </si>
  <si>
    <t>&lt;&lt;Նանա-Ար&gt;&gt; ԱԿ</t>
  </si>
  <si>
    <t>Դատարանի կողմից ճանաչվել է սնանկ 06,10,2015թ.-ին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</si>
  <si>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</si>
  <si>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</si>
  <si>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Դատարանի վճռով սնանկ 01.03.2016թ.-ից:</t>
  </si>
  <si>
    <t>Միհրանյան Վահան</t>
  </si>
  <si>
    <t>\</t>
  </si>
  <si>
    <t>Պողոսյան Մարտին</t>
  </si>
  <si>
    <t>Պարտքը կազմել է 1233,7 հազ. դրամ, ուղարկվել է նախազգուշացում,   չի ստացել, 27,09,2014թ. Վճարել է 150,0 և 25,02,2016թ. Վճարել է 264,0 հազ. դրամ:</t>
  </si>
  <si>
    <t>&lt;&lt;Ալեքպոլ&gt;&gt; ՍՊԸ</t>
  </si>
  <si>
    <t>Պարտքը կազմել է 1652,2 հազ. Դրամ, գործը գտնվում է ԴԱՀկ-ում բռնագանձման, 2016թ. ընթացքում բռնագանձվել և գանձվել է 836,0 հազ. դրամ:</t>
  </si>
  <si>
    <t>Վերդոյան Սվետլանա</t>
  </si>
  <si>
    <t>Ղուկասյան Նոնա</t>
  </si>
  <si>
    <t>Աբրահամյան Ռաֆիկ</t>
  </si>
  <si>
    <t>Վարչական դատարանի . ՎԴ5/0062/05/15 գործի 09.09.2015թ. վճռով հայցը բավարարվել է մասնակի, կիրառելով ՙՙՀարկերի մասին՚՚ ՀՀ օրենքի 30.1-րդ հոդվածը: 29.09.2014թ. դրությամբ 2008-2014թթ. հարկային պարտավորության 1173,3 դրամ գումարից հօգուտ Գյումրու համայնքի պետք է բռնագանձվի 531067 դրամ: 26.02.2016թ. վճարել է 149,7հազ. դրամ:</t>
  </si>
  <si>
    <t>Վիրաբյան Սեդրակ</t>
  </si>
  <si>
    <t>Գարեգինյան Սայաթ</t>
  </si>
  <si>
    <t>ՈՒղարկվել է նախազգուշացում</t>
  </si>
  <si>
    <t>Տոնոյան Գևորգ</t>
  </si>
  <si>
    <t>Մելքոնյան Բաբկեն</t>
  </si>
  <si>
    <t>Բոզոյան Սեյրան</t>
  </si>
  <si>
    <t>Բարինյան Վարազդատ</t>
  </si>
  <si>
    <t>Մակարյան Հայկարամ</t>
  </si>
  <si>
    <t>Խոջոյան Սիմոն</t>
  </si>
  <si>
    <t>Փանոսյան Ստեփանոս</t>
  </si>
  <si>
    <t>Մանուկյան Արտակ</t>
  </si>
  <si>
    <t xml:space="preserve">Բազայում կատարվել են ճշգրտումներ: 2015-2016թթ. ընթացքում վճարումներ չեն կատարվել, ուղարկվել է նախազգուշացում, 2016թ. Նոյեմբեր ամսին վճարվել է 61,8 հազ. դրամ: </t>
  </si>
  <si>
    <t>Համաձայն 08/01-1903/14 որոշման ԴԱՀԿ-ի կողմից վերցվել է հարկադիր կատարման:</t>
  </si>
  <si>
    <t>Գասպարյան Սևակ</t>
  </si>
  <si>
    <t>Գործերը նախապատրաստվում են ԴԱՀԿ ներկայացնելու համար:</t>
  </si>
  <si>
    <t>կատարվել են կադաստրային ճշգրտումներ, ուղարկվել է նախազգուշացում:</t>
  </si>
  <si>
    <t>Բազայում կատարվել են փոփոխուըթյուններ, ուղարկվել է նախազգուշացում:</t>
  </si>
  <si>
    <t>Իլոյան Աշոտ</t>
  </si>
  <si>
    <t>Եգանյան Հովհաննես</t>
  </si>
  <si>
    <t>Գործը գտնվում է վարչական դատարանում</t>
  </si>
  <si>
    <t>Մանուկյան Ռոբերտ</t>
  </si>
  <si>
    <t>Համբարձումյան Գուրգեն</t>
  </si>
  <si>
    <t>Չիտչյան Արսեն</t>
  </si>
  <si>
    <t>Մադոյան Արմենակ</t>
  </si>
  <si>
    <t>Պետրոսյան Արթուր</t>
  </si>
  <si>
    <t>Ամասիա (Ողջի բնակավայր)</t>
  </si>
  <si>
    <t>Պարտքը կազմել է 1507,5 հազ. դրամ, ուղարկվել է նախազգուշացում:</t>
  </si>
  <si>
    <t>Մարտիրոսյան Հովիկ</t>
  </si>
  <si>
    <t>ՈՒղարկվել է նախազգուշացում, 17,03,2017 թվականին վճարել է 200,0 հազ. դրամ</t>
  </si>
  <si>
    <t>ՏԵՂԵԿԱՆՔ                             
 հողի հարկի և գույքահարկի գծով խոշոր պարտավորություններ ունեցող ֆիզիկական և իրավաբանական անձանց ցուցակը 01.07.2017թ.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</si>
  <si>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01.07.2017թ. դրությամբ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</si>
</sst>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188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8" fontId="5" fillId="0" borderId="10" xfId="0" applyNumberFormat="1" applyFont="1" applyFill="1" applyBorder="1" applyAlignment="1">
      <alignment horizontal="center" vertical="center"/>
    </xf>
    <xf numFmtId="188" fontId="1" fillId="36" borderId="10" xfId="0" applyNumberFormat="1" applyFont="1" applyFill="1" applyBorder="1" applyAlignment="1">
      <alignment horizontal="center" vertical="center"/>
    </xf>
    <xf numFmtId="188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8" fontId="4" fillId="34" borderId="10" xfId="0" applyNumberFormat="1" applyFont="1" applyFill="1" applyBorder="1" applyAlignment="1">
      <alignment horizontal="center" vertical="center"/>
    </xf>
    <xf numFmtId="188" fontId="1" fillId="34" borderId="10" xfId="0" applyNumberFormat="1" applyFont="1" applyFill="1" applyBorder="1" applyAlignment="1">
      <alignment horizontal="center" vertical="center"/>
    </xf>
    <xf numFmtId="188" fontId="1" fillId="35" borderId="10" xfId="0" applyNumberFormat="1" applyFont="1" applyFill="1" applyBorder="1" applyAlignment="1">
      <alignment horizontal="center" vertical="center"/>
    </xf>
    <xf numFmtId="188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8" fontId="4" fillId="34" borderId="11" xfId="0" applyNumberFormat="1" applyFont="1" applyFill="1" applyBorder="1" applyAlignment="1">
      <alignment horizontal="center"/>
    </xf>
    <xf numFmtId="188" fontId="1" fillId="36" borderId="11" xfId="0" applyNumberFormat="1" applyFont="1" applyFill="1" applyBorder="1" applyAlignment="1">
      <alignment horizontal="center"/>
    </xf>
    <xf numFmtId="188" fontId="1" fillId="34" borderId="11" xfId="0" applyNumberFormat="1" applyFont="1" applyFill="1" applyBorder="1" applyAlignment="1">
      <alignment horizontal="center"/>
    </xf>
    <xf numFmtId="188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88" fontId="5" fillId="35" borderId="10" xfId="0" applyNumberFormat="1" applyFont="1" applyFill="1" applyBorder="1" applyAlignment="1">
      <alignment horizontal="center" vertical="center"/>
    </xf>
    <xf numFmtId="190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8" fontId="2" fillId="33" borderId="10" xfId="0" applyNumberFormat="1" applyFont="1" applyFill="1" applyBorder="1" applyAlignment="1">
      <alignment horizontal="right" vertical="center"/>
    </xf>
    <xf numFmtId="188" fontId="2" fillId="34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90" fontId="10" fillId="38" borderId="10" xfId="0" applyNumberFormat="1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188" fontId="2" fillId="39" borderId="10" xfId="0" applyNumberFormat="1" applyFont="1" applyFill="1" applyBorder="1" applyAlignment="1">
      <alignment horizontal="center" vertical="center"/>
    </xf>
    <xf numFmtId="188" fontId="2" fillId="35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88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justify" wrapText="1"/>
    </xf>
    <xf numFmtId="190" fontId="2" fillId="0" borderId="13" xfId="0" applyNumberFormat="1" applyFont="1" applyFill="1" applyBorder="1" applyAlignment="1">
      <alignment horizontal="left" vertical="center"/>
    </xf>
    <xf numFmtId="190" fontId="2" fillId="0" borderId="13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tabSelected="1" zoomScale="85" zoomScaleNormal="85" zoomScalePageLayoutView="0" workbookViewId="0" topLeftCell="A1">
      <selection activeCell="A61" sqref="A61:IV67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8.421875" style="0" customWidth="1"/>
    <col min="4" max="4" width="9.140625" style="0" customWidth="1"/>
    <col min="5" max="5" width="10.57421875" style="0" customWidth="1"/>
    <col min="6" max="6" width="11.28125" style="0" customWidth="1"/>
    <col min="7" max="7" width="14.710937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4.00390625" style="0" customWidth="1"/>
  </cols>
  <sheetData>
    <row r="1" ht="1.5" customHeight="1"/>
    <row r="2" spans="1:14" ht="39" customHeight="1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39" customHeight="1">
      <c r="A3" s="7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 customHeight="1">
      <c r="B4" s="5"/>
      <c r="C4" s="5"/>
      <c r="D4" s="5"/>
      <c r="E4" s="5"/>
      <c r="F4" s="5"/>
      <c r="M4" s="7" t="s">
        <v>10</v>
      </c>
      <c r="N4" s="6"/>
    </row>
    <row r="5" spans="1:14" ht="122.25" customHeight="1">
      <c r="A5" s="80" t="s">
        <v>0</v>
      </c>
      <c r="B5" s="72" t="s">
        <v>1</v>
      </c>
      <c r="C5" s="81" t="s">
        <v>7</v>
      </c>
      <c r="D5" s="82"/>
      <c r="E5" s="72" t="s">
        <v>44</v>
      </c>
      <c r="F5" s="87" t="s">
        <v>42</v>
      </c>
      <c r="G5" s="8" t="s">
        <v>11</v>
      </c>
      <c r="H5" s="8" t="s">
        <v>12</v>
      </c>
      <c r="I5" s="8" t="s">
        <v>11</v>
      </c>
      <c r="J5" s="8" t="s">
        <v>12</v>
      </c>
      <c r="K5" s="72" t="s">
        <v>45</v>
      </c>
      <c r="L5" s="87" t="s">
        <v>43</v>
      </c>
      <c r="M5" s="83" t="s">
        <v>2</v>
      </c>
      <c r="N5" s="79" t="s">
        <v>15</v>
      </c>
    </row>
    <row r="6" spans="1:14" ht="47.25" customHeight="1">
      <c r="A6" s="80"/>
      <c r="B6" s="73"/>
      <c r="C6" s="8" t="s">
        <v>14</v>
      </c>
      <c r="D6" s="8" t="s">
        <v>9</v>
      </c>
      <c r="E6" s="73"/>
      <c r="F6" s="89"/>
      <c r="G6" s="85" t="s">
        <v>8</v>
      </c>
      <c r="H6" s="86"/>
      <c r="I6" s="85" t="s">
        <v>13</v>
      </c>
      <c r="J6" s="86"/>
      <c r="K6" s="73"/>
      <c r="L6" s="88"/>
      <c r="M6" s="84"/>
      <c r="N6" s="79"/>
    </row>
    <row r="7" spans="1:14" ht="22.5" customHeight="1">
      <c r="A7" s="38"/>
      <c r="B7" s="41" t="s">
        <v>5</v>
      </c>
      <c r="C7" s="42"/>
      <c r="D7" s="42"/>
      <c r="E7" s="42"/>
      <c r="F7" s="43"/>
      <c r="G7" s="42"/>
      <c r="H7" s="42"/>
      <c r="I7" s="44"/>
      <c r="J7" s="44"/>
      <c r="K7" s="44"/>
      <c r="L7" s="43"/>
      <c r="M7" s="45"/>
      <c r="N7" s="17"/>
    </row>
    <row r="8" spans="1:14" ht="14.25">
      <c r="A8" s="46">
        <v>1</v>
      </c>
      <c r="B8" s="47" t="s">
        <v>6</v>
      </c>
      <c r="C8" s="1"/>
      <c r="D8" s="1"/>
      <c r="E8" s="1"/>
      <c r="F8" s="43"/>
      <c r="G8" s="1"/>
      <c r="H8" s="1"/>
      <c r="I8" s="44"/>
      <c r="J8" s="44"/>
      <c r="K8" s="44"/>
      <c r="L8" s="43"/>
      <c r="M8" s="45"/>
      <c r="N8" s="17"/>
    </row>
    <row r="9" spans="1:15" ht="45.75" customHeight="1">
      <c r="A9" s="46">
        <v>1</v>
      </c>
      <c r="B9" s="68" t="s">
        <v>29</v>
      </c>
      <c r="C9" s="1"/>
      <c r="D9" s="1"/>
      <c r="E9" s="1"/>
      <c r="F9" s="48">
        <f aca="true" t="shared" si="0" ref="F9:F46">SUM(C9:E9)</f>
        <v>0</v>
      </c>
      <c r="G9" s="1"/>
      <c r="H9" s="1"/>
      <c r="I9" s="49">
        <f>419.9+151+151+151</f>
        <v>872.9</v>
      </c>
      <c r="J9" s="49"/>
      <c r="K9" s="49">
        <f>262.5+6.1+7.5+6.7+6.6+1.1+12.7+7.1+7.2+6.8+7.2+6.4+6.5+7.1+7.4+6.4+6.8+7+6.8+6.6+7.2+5.2+8.2+7</f>
        <v>420.1</v>
      </c>
      <c r="L9" s="48">
        <f aca="true" t="shared" si="1" ref="L9:L23">SUM(G9:K9)</f>
        <v>1293</v>
      </c>
      <c r="M9" s="50">
        <f aca="true" t="shared" si="2" ref="M9:M23">L9+F9</f>
        <v>1293</v>
      </c>
      <c r="N9" s="57" t="s">
        <v>50</v>
      </c>
      <c r="O9" s="39"/>
    </row>
    <row r="10" spans="1:15" ht="47.25" customHeight="1">
      <c r="A10" s="46">
        <v>2</v>
      </c>
      <c r="B10" s="68" t="s">
        <v>30</v>
      </c>
      <c r="C10" s="1"/>
      <c r="D10" s="1"/>
      <c r="E10" s="1"/>
      <c r="F10" s="48">
        <f t="shared" si="0"/>
        <v>0</v>
      </c>
      <c r="G10" s="1"/>
      <c r="H10" s="1"/>
      <c r="I10" s="49">
        <f>412.5+119.9+120+120</f>
        <v>772.4</v>
      </c>
      <c r="J10" s="49"/>
      <c r="K10" s="49">
        <f>269.2+4.9+5.9+5.4+5.2+0.9+10.1+5.6+5.7+5.4+5.7+5.1+5.4+5.4+5.9+5.1+5.4+5.5+5.5+5.2+5.7+4.2+6.5+5.5</f>
        <v>394.3999999999998</v>
      </c>
      <c r="L10" s="48">
        <f t="shared" si="1"/>
        <v>1166.7999999999997</v>
      </c>
      <c r="M10" s="50">
        <f t="shared" si="2"/>
        <v>1166.7999999999997</v>
      </c>
      <c r="N10" s="57" t="s">
        <v>50</v>
      </c>
      <c r="O10" s="39"/>
    </row>
    <row r="11" spans="1:15" ht="80.25" customHeight="1">
      <c r="A11" s="46">
        <v>3</v>
      </c>
      <c r="B11" s="68" t="s">
        <v>31</v>
      </c>
      <c r="C11" s="1"/>
      <c r="D11" s="1"/>
      <c r="E11" s="1"/>
      <c r="F11" s="48">
        <f t="shared" si="0"/>
        <v>0</v>
      </c>
      <c r="G11" s="1"/>
      <c r="H11" s="1"/>
      <c r="I11" s="49">
        <f>465.3+201.5-100+313.6+313.6</f>
        <v>1194</v>
      </c>
      <c r="J11" s="49"/>
      <c r="K11" s="49">
        <f>314.5+4.5+5.7+5.1+4.9+0.8+26.4+14.6+15+14.2+15+13.2+14.1+14.1+15.5+13.2+14.1+14.6+14.1+13.6+15.1+10.8+16.9+14.6</f>
        <v>604.6</v>
      </c>
      <c r="L11" s="48">
        <f t="shared" si="1"/>
        <v>1798.6</v>
      </c>
      <c r="M11" s="50">
        <f t="shared" si="2"/>
        <v>1798.6</v>
      </c>
      <c r="N11" s="57" t="s">
        <v>76</v>
      </c>
      <c r="O11" s="39"/>
    </row>
    <row r="12" spans="1:14" ht="97.5" customHeight="1">
      <c r="A12" s="46">
        <v>4</v>
      </c>
      <c r="B12" s="68" t="s">
        <v>32</v>
      </c>
      <c r="C12" s="1"/>
      <c r="D12" s="1"/>
      <c r="E12" s="1"/>
      <c r="F12" s="48">
        <f t="shared" si="0"/>
        <v>0</v>
      </c>
      <c r="G12" s="1"/>
      <c r="H12" s="1"/>
      <c r="I12" s="49">
        <v>886.3</v>
      </c>
      <c r="J12" s="49"/>
      <c r="K12" s="49">
        <v>485.3</v>
      </c>
      <c r="L12" s="48">
        <f t="shared" si="1"/>
        <v>1371.6</v>
      </c>
      <c r="M12" s="50">
        <f t="shared" si="2"/>
        <v>1371.6</v>
      </c>
      <c r="N12" s="57" t="s">
        <v>51</v>
      </c>
    </row>
    <row r="13" spans="1:15" ht="43.5" customHeight="1">
      <c r="A13" s="46">
        <v>5</v>
      </c>
      <c r="B13" s="68" t="s">
        <v>59</v>
      </c>
      <c r="C13" s="1"/>
      <c r="D13" s="1"/>
      <c r="E13" s="1"/>
      <c r="F13" s="48">
        <f t="shared" si="0"/>
        <v>0</v>
      </c>
      <c r="G13" s="1"/>
      <c r="H13" s="1"/>
      <c r="I13" s="49">
        <f>619.3+164.8</f>
        <v>784.0999999999999</v>
      </c>
      <c r="J13" s="49"/>
      <c r="K13" s="49">
        <f>407.3+7.7+7.9+7.4+7.9+7+7.4+7.4+8.1+6.9+7.5+7.7+7.4+7.1+8+5.6+8.9+7.7</f>
        <v>534.8999999999999</v>
      </c>
      <c r="L13" s="48">
        <f t="shared" si="1"/>
        <v>1318.9999999999998</v>
      </c>
      <c r="M13" s="50">
        <f t="shared" si="2"/>
        <v>1318.9999999999998</v>
      </c>
      <c r="N13" s="57" t="s">
        <v>60</v>
      </c>
      <c r="O13" s="39"/>
    </row>
    <row r="14" spans="1:15" ht="141" customHeight="1">
      <c r="A14" s="46">
        <v>6</v>
      </c>
      <c r="B14" s="68" t="s">
        <v>46</v>
      </c>
      <c r="C14" s="1"/>
      <c r="D14" s="1"/>
      <c r="E14" s="1"/>
      <c r="F14" s="48">
        <f t="shared" si="0"/>
        <v>0</v>
      </c>
      <c r="G14" s="1"/>
      <c r="H14" s="1"/>
      <c r="I14" s="49"/>
      <c r="J14" s="49">
        <f>445+165+165+165</f>
        <v>940</v>
      </c>
      <c r="K14" s="49">
        <f>303.3+6.7+8.1+7.4+7.2+1.3+13.8+7.7+7.9+7.4+7.9+7+7.4+7.4+8.2+6.9+7.4+7.7+7.5+7.1+8+5.7+8.9+7.6</f>
        <v>475.49999999999983</v>
      </c>
      <c r="L14" s="48">
        <f t="shared" si="1"/>
        <v>1415.4999999999998</v>
      </c>
      <c r="M14" s="50">
        <f t="shared" si="2"/>
        <v>1415.4999999999998</v>
      </c>
      <c r="N14" s="57" t="s">
        <v>52</v>
      </c>
      <c r="O14" s="39"/>
    </row>
    <row r="15" spans="1:15" ht="42.75" customHeight="1">
      <c r="A15" s="46">
        <v>7</v>
      </c>
      <c r="B15" s="68" t="s">
        <v>33</v>
      </c>
      <c r="C15" s="1"/>
      <c r="D15" s="1"/>
      <c r="E15" s="1"/>
      <c r="F15" s="48">
        <f t="shared" si="0"/>
        <v>0</v>
      </c>
      <c r="G15" s="1"/>
      <c r="H15" s="1"/>
      <c r="I15" s="49"/>
      <c r="J15" s="49">
        <f>537+133.2+1.1+134.2+134.2</f>
        <v>939.7</v>
      </c>
      <c r="K15" s="49">
        <f>342.6+5.4+6.5+6.1+5.9+1+11.3+6.2+6.5+6+6.4+5.7+6+6.1+6.6+5.6+6.1+6.2+6.1+5.8+6.5+4.6+7.3+6.2</f>
        <v>482.7000000000001</v>
      </c>
      <c r="L15" s="48">
        <f t="shared" si="1"/>
        <v>1422.4</v>
      </c>
      <c r="M15" s="50">
        <f t="shared" si="2"/>
        <v>1422.4</v>
      </c>
      <c r="N15" s="57" t="s">
        <v>54</v>
      </c>
      <c r="O15" s="39"/>
    </row>
    <row r="16" spans="1:15" ht="41.25" customHeight="1">
      <c r="A16" s="46">
        <v>8</v>
      </c>
      <c r="B16" s="68" t="s">
        <v>34</v>
      </c>
      <c r="C16" s="1"/>
      <c r="D16" s="1"/>
      <c r="E16" s="1"/>
      <c r="F16" s="48">
        <f t="shared" si="0"/>
        <v>0</v>
      </c>
      <c r="G16" s="1"/>
      <c r="H16" s="1"/>
      <c r="I16" s="49"/>
      <c r="J16" s="49">
        <f>656.6+164.1+164.4+164.3</f>
        <v>1149.4</v>
      </c>
      <c r="K16" s="49">
        <f>418.8+6.7+8.3+7.2+7.2+1.2+13.8+7.7+7.8+7.4+7.9+6.9+7.4+7.4+8.1+6.9+7.4+7.6+7.4+7.2+7.9+5.6+8.9+7.6</f>
        <v>590.3</v>
      </c>
      <c r="L16" s="48">
        <f t="shared" si="1"/>
        <v>1739.7</v>
      </c>
      <c r="M16" s="50">
        <f t="shared" si="2"/>
        <v>1739.7</v>
      </c>
      <c r="N16" s="57" t="s">
        <v>54</v>
      </c>
      <c r="O16" s="39"/>
    </row>
    <row r="17" spans="1:15" ht="64.5" customHeight="1">
      <c r="A17" s="46">
        <v>9</v>
      </c>
      <c r="B17" s="68" t="s">
        <v>61</v>
      </c>
      <c r="C17" s="1"/>
      <c r="D17" s="1"/>
      <c r="E17" s="1"/>
      <c r="F17" s="48">
        <f t="shared" si="0"/>
        <v>0</v>
      </c>
      <c r="G17" s="1"/>
      <c r="H17" s="1"/>
      <c r="I17" s="49"/>
      <c r="J17" s="49">
        <f>601.4+5+165.1</f>
        <v>771.5</v>
      </c>
      <c r="K17" s="49">
        <f>259.7+7.7+7.9+7.4+8+6.9+7.4+7.5+8.1+6.9+7.4+7.7+7.4+7.2+7.9+5.7+8.9+7.7</f>
        <v>387.39999999999975</v>
      </c>
      <c r="L17" s="48">
        <f t="shared" si="1"/>
        <v>1158.8999999999996</v>
      </c>
      <c r="M17" s="50">
        <f t="shared" si="2"/>
        <v>1158.8999999999996</v>
      </c>
      <c r="N17" s="57" t="s">
        <v>62</v>
      </c>
      <c r="O17" s="39"/>
    </row>
    <row r="18" spans="1:15" ht="91.5" customHeight="1">
      <c r="A18" s="46">
        <v>10</v>
      </c>
      <c r="B18" s="68" t="s">
        <v>81</v>
      </c>
      <c r="C18" s="1"/>
      <c r="D18" s="1"/>
      <c r="E18" s="1"/>
      <c r="F18" s="48">
        <f t="shared" si="0"/>
        <v>0</v>
      </c>
      <c r="G18" s="1"/>
      <c r="H18" s="1"/>
      <c r="I18" s="49">
        <f>577.9</f>
        <v>577.9</v>
      </c>
      <c r="J18" s="49"/>
      <c r="K18" s="49">
        <f>331.8+4.3+4.7+3.4+5.3+4.6</f>
        <v>354.1</v>
      </c>
      <c r="L18" s="48">
        <f t="shared" si="1"/>
        <v>932</v>
      </c>
      <c r="M18" s="50">
        <f t="shared" si="2"/>
        <v>932</v>
      </c>
      <c r="N18" s="57" t="s">
        <v>82</v>
      </c>
      <c r="O18" s="39"/>
    </row>
    <row r="19" spans="1:15" ht="111" customHeight="1">
      <c r="A19" s="46">
        <v>11</v>
      </c>
      <c r="B19" s="68" t="s">
        <v>47</v>
      </c>
      <c r="C19" s="1"/>
      <c r="D19" s="1"/>
      <c r="E19" s="1"/>
      <c r="F19" s="48">
        <f t="shared" si="0"/>
        <v>0</v>
      </c>
      <c r="G19" s="1"/>
      <c r="H19" s="1"/>
      <c r="I19" s="49"/>
      <c r="J19" s="49">
        <f>362.5+150+150+150</f>
        <v>812.5</v>
      </c>
      <c r="K19" s="49">
        <f>252.6+6.1+7.5+6.7+6.6+1.1+12.6+7+7.2+6.7+7.2+6.3+6.8+6.7+7.4+6.3+6.8+7+6.7+6.5+7.2+5.2+8.1+7</f>
        <v>409.3</v>
      </c>
      <c r="L19" s="48">
        <f t="shared" si="1"/>
        <v>1221.8</v>
      </c>
      <c r="M19" s="50">
        <f t="shared" si="2"/>
        <v>1221.8</v>
      </c>
      <c r="N19" s="57" t="s">
        <v>53</v>
      </c>
      <c r="O19" s="39"/>
    </row>
    <row r="20" spans="1:15" ht="105" customHeight="1">
      <c r="A20" s="46">
        <v>12</v>
      </c>
      <c r="B20" s="68" t="s">
        <v>48</v>
      </c>
      <c r="C20" s="1"/>
      <c r="D20" s="1"/>
      <c r="E20" s="1"/>
      <c r="F20" s="48">
        <f t="shared" si="0"/>
        <v>0</v>
      </c>
      <c r="G20" s="1"/>
      <c r="H20" s="1"/>
      <c r="I20" s="49"/>
      <c r="J20" s="49">
        <f>954.5+124.5+124.5+124.5</f>
        <v>1328</v>
      </c>
      <c r="K20" s="49">
        <f>567.6+5+6.2+5.6+5.4+0.9+10.5+5.8+5.9+5.7+5.9+5.3+5.6+5.6+6.1+5.3+5.6+5.8+5.6+5.4+6+4.2+6.8+5.8</f>
        <v>697.5999999999999</v>
      </c>
      <c r="L20" s="48">
        <f t="shared" si="1"/>
        <v>2025.6</v>
      </c>
      <c r="M20" s="50">
        <f t="shared" si="2"/>
        <v>2025.6</v>
      </c>
      <c r="N20" s="57" t="s">
        <v>63</v>
      </c>
      <c r="O20" s="39"/>
    </row>
    <row r="21" spans="1:15" ht="174.75" customHeight="1">
      <c r="A21" s="46">
        <v>13</v>
      </c>
      <c r="B21" s="68" t="s">
        <v>64</v>
      </c>
      <c r="C21" s="1"/>
      <c r="D21" s="1"/>
      <c r="E21" s="1"/>
      <c r="F21" s="48">
        <f t="shared" si="0"/>
        <v>0</v>
      </c>
      <c r="G21" s="1"/>
      <c r="H21" s="1"/>
      <c r="I21" s="49"/>
      <c r="J21" s="49">
        <f>555+138.7</f>
        <v>693.7</v>
      </c>
      <c r="K21" s="49">
        <f>239.7+6.3+6.6+6.3+6.6+5.9+6.2+6.3+6.8+5.9+6.2+6.5+6.2+6+6.7+4.8+7.5+6.4</f>
        <v>346.8999999999999</v>
      </c>
      <c r="L21" s="48">
        <f t="shared" si="1"/>
        <v>1040.6</v>
      </c>
      <c r="M21" s="50">
        <f t="shared" si="2"/>
        <v>1040.6</v>
      </c>
      <c r="N21" s="57" t="s">
        <v>65</v>
      </c>
      <c r="O21" s="39"/>
    </row>
    <row r="22" spans="1:15" ht="43.5" customHeight="1">
      <c r="A22" s="46">
        <v>14</v>
      </c>
      <c r="B22" s="68" t="s">
        <v>66</v>
      </c>
      <c r="C22" s="1"/>
      <c r="D22" s="1"/>
      <c r="E22" s="1"/>
      <c r="F22" s="48">
        <f t="shared" si="0"/>
        <v>0</v>
      </c>
      <c r="G22" s="1"/>
      <c r="H22" s="1"/>
      <c r="I22" s="49"/>
      <c r="J22" s="49">
        <f>660+165</f>
        <v>825</v>
      </c>
      <c r="K22" s="49">
        <f>284.9+7.6+8+7.4+7.9+6.9+7.5+7.4+8.1+7+7.4+7.7+7.4+7.2+7.9+5.7+8.9+7.7</f>
        <v>412.5999999999998</v>
      </c>
      <c r="L22" s="48">
        <f t="shared" si="1"/>
        <v>1237.6</v>
      </c>
      <c r="M22" s="50">
        <f t="shared" si="2"/>
        <v>1237.6</v>
      </c>
      <c r="N22" s="57" t="s">
        <v>67</v>
      </c>
      <c r="O22" s="39"/>
    </row>
    <row r="23" spans="1:15" ht="40.5" customHeight="1">
      <c r="A23" s="46">
        <v>15</v>
      </c>
      <c r="B23" s="68" t="s">
        <v>68</v>
      </c>
      <c r="C23" s="1"/>
      <c r="D23" s="1"/>
      <c r="E23" s="1"/>
      <c r="F23" s="48">
        <f t="shared" si="0"/>
        <v>0</v>
      </c>
      <c r="G23" s="1"/>
      <c r="H23" s="1"/>
      <c r="I23" s="49"/>
      <c r="J23" s="49">
        <f>558+139.5</f>
        <v>697.5</v>
      </c>
      <c r="K23" s="49">
        <f>240.8+6.5+7.6-0.9+6.3+6.7+5.9+6.2+6.3+6.9+5.9+6.2+6.5+6.3+6.1+6.7+4.8+7.5+6.5</f>
        <v>348.79999999999995</v>
      </c>
      <c r="L23" s="48">
        <f t="shared" si="1"/>
        <v>1046.3</v>
      </c>
      <c r="M23" s="50">
        <f t="shared" si="2"/>
        <v>1046.3</v>
      </c>
      <c r="N23" s="57" t="s">
        <v>69</v>
      </c>
      <c r="O23" s="39"/>
    </row>
    <row r="24" spans="1:15" ht="39.75" customHeight="1">
      <c r="A24" s="46">
        <v>16</v>
      </c>
      <c r="B24" s="68" t="s">
        <v>70</v>
      </c>
      <c r="C24" s="1"/>
      <c r="D24" s="1"/>
      <c r="E24" s="1"/>
      <c r="F24" s="48">
        <f t="shared" si="0"/>
        <v>0</v>
      </c>
      <c r="G24" s="1"/>
      <c r="H24" s="1"/>
      <c r="I24" s="49"/>
      <c r="J24" s="49">
        <f>654.4+220.4</f>
        <v>874.8</v>
      </c>
      <c r="K24" s="49">
        <f>259.3+10.2+10.6+9.9+10.6+9.3+9.9+9.9+10.9+9.3+9.9+10.3+9.9+9.6+10.6+7.6+11.9+9.8</f>
        <v>429.5</v>
      </c>
      <c r="L24" s="48">
        <f aca="true" t="shared" si="3" ref="L24:L47">SUM(G24:K24)</f>
        <v>1304.3</v>
      </c>
      <c r="M24" s="50">
        <f aca="true" t="shared" si="4" ref="M24:M47">L24+F24</f>
        <v>1304.3</v>
      </c>
      <c r="N24" s="57" t="s">
        <v>69</v>
      </c>
      <c r="O24" s="39"/>
    </row>
    <row r="25" spans="1:15" ht="39.75" customHeight="1">
      <c r="A25" s="46">
        <v>17</v>
      </c>
      <c r="B25" s="68" t="s">
        <v>71</v>
      </c>
      <c r="C25" s="1"/>
      <c r="D25" s="1"/>
      <c r="E25" s="1"/>
      <c r="F25" s="48">
        <f t="shared" si="0"/>
        <v>0</v>
      </c>
      <c r="G25" s="1"/>
      <c r="H25" s="1"/>
      <c r="I25" s="49"/>
      <c r="J25" s="49">
        <f>514.6+134.2</f>
        <v>648.8</v>
      </c>
      <c r="K25" s="49">
        <f>219.5+6.2+6.5+6.1+6.4+5.6+6.1+6+6.6+5.7+6+6.3+6+5.8+6.5+4.6+7.3+6.2</f>
        <v>323.40000000000003</v>
      </c>
      <c r="L25" s="48">
        <f t="shared" si="3"/>
        <v>972.2</v>
      </c>
      <c r="M25" s="50">
        <f t="shared" si="4"/>
        <v>972.2</v>
      </c>
      <c r="N25" s="57" t="s">
        <v>69</v>
      </c>
      <c r="O25" s="39"/>
    </row>
    <row r="26" spans="1:15" ht="39.75" customHeight="1">
      <c r="A26" s="46">
        <v>18</v>
      </c>
      <c r="B26" s="68" t="s">
        <v>79</v>
      </c>
      <c r="C26" s="1"/>
      <c r="D26" s="1"/>
      <c r="E26" s="1"/>
      <c r="F26" s="48">
        <f t="shared" si="0"/>
        <v>0</v>
      </c>
      <c r="G26" s="1"/>
      <c r="H26" s="1"/>
      <c r="I26" s="49"/>
      <c r="J26" s="49">
        <f>573.1+229.5</f>
        <v>802.6</v>
      </c>
      <c r="K26" s="49">
        <f>190.1+12+12.9+12+12.9+11.2+12+12.1+13.3+11.2+12.1+10.9+10.4+9.9+11+8+12.4+10.6</f>
        <v>385</v>
      </c>
      <c r="L26" s="48">
        <f t="shared" si="3"/>
        <v>1187.6</v>
      </c>
      <c r="M26" s="50">
        <f t="shared" si="4"/>
        <v>1187.6</v>
      </c>
      <c r="N26" s="57" t="s">
        <v>72</v>
      </c>
      <c r="O26" s="39"/>
    </row>
    <row r="27" spans="1:15" ht="39.75" customHeight="1">
      <c r="A27" s="46">
        <v>19</v>
      </c>
      <c r="B27" s="68" t="s">
        <v>85</v>
      </c>
      <c r="C27" s="1"/>
      <c r="D27" s="1"/>
      <c r="E27" s="1"/>
      <c r="F27" s="48">
        <f t="shared" si="0"/>
        <v>0</v>
      </c>
      <c r="G27" s="1"/>
      <c r="H27" s="1"/>
      <c r="I27" s="49">
        <f>503.5</f>
        <v>503.5</v>
      </c>
      <c r="J27" s="49"/>
      <c r="K27" s="49">
        <f>207.2+3.8+4.3+3+4.8+4.1</f>
        <v>227.20000000000002</v>
      </c>
      <c r="L27" s="48">
        <f t="shared" si="3"/>
        <v>730.7</v>
      </c>
      <c r="M27" s="50">
        <f t="shared" si="4"/>
        <v>730.7</v>
      </c>
      <c r="N27" s="57" t="s">
        <v>72</v>
      </c>
      <c r="O27" s="39"/>
    </row>
    <row r="28" spans="1:15" ht="39.75" customHeight="1">
      <c r="A28" s="46">
        <v>20</v>
      </c>
      <c r="B28" s="68" t="s">
        <v>86</v>
      </c>
      <c r="C28" s="1"/>
      <c r="D28" s="1"/>
      <c r="E28" s="1"/>
      <c r="F28" s="48">
        <f t="shared" si="0"/>
        <v>0</v>
      </c>
      <c r="G28" s="1"/>
      <c r="H28" s="1"/>
      <c r="I28" s="49">
        <f>649</f>
        <v>649</v>
      </c>
      <c r="J28" s="49"/>
      <c r="K28" s="49">
        <f>205.4+13.6+15.6+11.2+17.5+15.1</f>
        <v>278.4</v>
      </c>
      <c r="L28" s="48">
        <f t="shared" si="3"/>
        <v>927.4</v>
      </c>
      <c r="M28" s="50">
        <f t="shared" si="4"/>
        <v>927.4</v>
      </c>
      <c r="N28" s="57" t="s">
        <v>72</v>
      </c>
      <c r="O28" s="39"/>
    </row>
    <row r="29" spans="1:15" ht="179.25" customHeight="1">
      <c r="A29" s="46">
        <v>21</v>
      </c>
      <c r="B29" s="68" t="s">
        <v>87</v>
      </c>
      <c r="C29" s="1"/>
      <c r="D29" s="1"/>
      <c r="E29" s="1"/>
      <c r="F29" s="48">
        <f t="shared" si="0"/>
        <v>0</v>
      </c>
      <c r="G29" s="1"/>
      <c r="H29" s="1"/>
      <c r="I29" s="49"/>
      <c r="J29" s="49">
        <f>514</f>
        <v>514</v>
      </c>
      <c r="K29" s="49">
        <f>246.5+5.9+6.3+4.5+7.2+6.2</f>
        <v>276.59999999999997</v>
      </c>
      <c r="L29" s="48">
        <f t="shared" si="3"/>
        <v>790.5999999999999</v>
      </c>
      <c r="M29" s="50">
        <f t="shared" si="4"/>
        <v>790.5999999999999</v>
      </c>
      <c r="N29" s="57" t="s">
        <v>88</v>
      </c>
      <c r="O29" s="39"/>
    </row>
    <row r="30" spans="1:15" ht="39.75" customHeight="1">
      <c r="A30" s="46">
        <v>22</v>
      </c>
      <c r="B30" s="68" t="s">
        <v>89</v>
      </c>
      <c r="C30" s="1"/>
      <c r="D30" s="1"/>
      <c r="E30" s="1"/>
      <c r="F30" s="48">
        <f t="shared" si="0"/>
        <v>0</v>
      </c>
      <c r="G30" s="1"/>
      <c r="H30" s="1"/>
      <c r="I30" s="49"/>
      <c r="J30" s="49">
        <f>626.1</f>
        <v>626.1</v>
      </c>
      <c r="K30" s="49">
        <f>280.3+5.9+6.4+4.6+7.3+6.2</f>
        <v>310.7</v>
      </c>
      <c r="L30" s="48">
        <f t="shared" si="3"/>
        <v>936.8</v>
      </c>
      <c r="M30" s="50">
        <f t="shared" si="4"/>
        <v>936.8</v>
      </c>
      <c r="N30" s="57" t="s">
        <v>69</v>
      </c>
      <c r="O30" s="39"/>
    </row>
    <row r="31" spans="1:15" ht="39.75" customHeight="1">
      <c r="A31" s="46">
        <v>23</v>
      </c>
      <c r="B31" s="68" t="s">
        <v>90</v>
      </c>
      <c r="C31" s="1"/>
      <c r="D31" s="1"/>
      <c r="E31" s="1"/>
      <c r="F31" s="48">
        <f t="shared" si="0"/>
        <v>0</v>
      </c>
      <c r="G31" s="1"/>
      <c r="H31" s="1"/>
      <c r="I31" s="49"/>
      <c r="J31" s="49">
        <f>603.9</f>
        <v>603.9</v>
      </c>
      <c r="K31" s="49">
        <f>266+6+6.7+4.8+7.6+6.5</f>
        <v>297.6</v>
      </c>
      <c r="L31" s="48">
        <f t="shared" si="3"/>
        <v>901.5</v>
      </c>
      <c r="M31" s="50">
        <f t="shared" si="4"/>
        <v>901.5</v>
      </c>
      <c r="N31" s="57" t="s">
        <v>91</v>
      </c>
      <c r="O31" s="39"/>
    </row>
    <row r="32" spans="1:15" ht="39.75" customHeight="1">
      <c r="A32" s="46">
        <v>24</v>
      </c>
      <c r="B32" s="68" t="s">
        <v>92</v>
      </c>
      <c r="C32" s="1"/>
      <c r="D32" s="1"/>
      <c r="E32" s="1"/>
      <c r="F32" s="48">
        <f t="shared" si="0"/>
        <v>0</v>
      </c>
      <c r="G32" s="1"/>
      <c r="H32" s="1"/>
      <c r="I32" s="49"/>
      <c r="J32" s="49">
        <f>646.9</f>
        <v>646.9</v>
      </c>
      <c r="K32" s="49">
        <f>274.2+7.5+8.3+5.9+9.4+8</f>
        <v>313.29999999999995</v>
      </c>
      <c r="L32" s="48">
        <f t="shared" si="3"/>
        <v>960.1999999999999</v>
      </c>
      <c r="M32" s="50">
        <f t="shared" si="4"/>
        <v>960.1999999999999</v>
      </c>
      <c r="N32" s="57" t="s">
        <v>91</v>
      </c>
      <c r="O32" s="39"/>
    </row>
    <row r="33" spans="1:15" ht="39.75" customHeight="1">
      <c r="A33" s="46">
        <v>25</v>
      </c>
      <c r="B33" s="68" t="s">
        <v>93</v>
      </c>
      <c r="C33" s="1"/>
      <c r="D33" s="1"/>
      <c r="E33" s="1"/>
      <c r="F33" s="48">
        <f t="shared" si="0"/>
        <v>0</v>
      </c>
      <c r="G33" s="1"/>
      <c r="H33" s="1"/>
      <c r="I33" s="49"/>
      <c r="J33" s="49">
        <f>618</f>
        <v>618</v>
      </c>
      <c r="K33" s="49">
        <f>266.7+6.8+7.4+5.3+8.3+7.2</f>
        <v>301.7</v>
      </c>
      <c r="L33" s="48">
        <f t="shared" si="3"/>
        <v>919.7</v>
      </c>
      <c r="M33" s="50">
        <f t="shared" si="4"/>
        <v>919.7</v>
      </c>
      <c r="N33" s="57" t="s">
        <v>91</v>
      </c>
      <c r="O33" s="39"/>
    </row>
    <row r="34" spans="1:15" ht="39.75" customHeight="1">
      <c r="A34" s="46">
        <v>26</v>
      </c>
      <c r="B34" s="68" t="s">
        <v>94</v>
      </c>
      <c r="C34" s="1"/>
      <c r="D34" s="1"/>
      <c r="E34" s="1"/>
      <c r="F34" s="48">
        <f t="shared" si="0"/>
        <v>0</v>
      </c>
      <c r="G34" s="1"/>
      <c r="H34" s="1"/>
      <c r="I34" s="49"/>
      <c r="J34" s="49">
        <f>593.7</f>
        <v>593.7</v>
      </c>
      <c r="K34" s="49">
        <f>259.2+6+6.9+4.9+7.7+6.6</f>
        <v>291.29999999999995</v>
      </c>
      <c r="L34" s="48">
        <f t="shared" si="3"/>
        <v>885</v>
      </c>
      <c r="M34" s="50">
        <f t="shared" si="4"/>
        <v>885</v>
      </c>
      <c r="N34" s="57" t="s">
        <v>91</v>
      </c>
      <c r="O34" s="39"/>
    </row>
    <row r="35" spans="1:15" ht="39.75" customHeight="1">
      <c r="A35" s="46">
        <v>27</v>
      </c>
      <c r="B35" s="68" t="s">
        <v>95</v>
      </c>
      <c r="C35" s="1"/>
      <c r="D35" s="1"/>
      <c r="E35" s="1"/>
      <c r="F35" s="48">
        <f t="shared" si="0"/>
        <v>0</v>
      </c>
      <c r="G35" s="1"/>
      <c r="H35" s="1"/>
      <c r="I35" s="49"/>
      <c r="J35" s="49">
        <f>560</f>
        <v>560</v>
      </c>
      <c r="K35" s="49">
        <f>251+5.2+5.8+4.1+6.5</f>
        <v>272.6</v>
      </c>
      <c r="L35" s="48">
        <f t="shared" si="3"/>
        <v>832.6</v>
      </c>
      <c r="M35" s="50">
        <f t="shared" si="4"/>
        <v>832.6</v>
      </c>
      <c r="N35" s="57" t="s">
        <v>91</v>
      </c>
      <c r="O35" s="39"/>
    </row>
    <row r="36" spans="1:15" ht="39.75" customHeight="1">
      <c r="A36" s="46">
        <v>28</v>
      </c>
      <c r="B36" s="68" t="s">
        <v>96</v>
      </c>
      <c r="C36" s="1"/>
      <c r="D36" s="1"/>
      <c r="E36" s="1"/>
      <c r="F36" s="48">
        <f t="shared" si="0"/>
        <v>0</v>
      </c>
      <c r="G36" s="1"/>
      <c r="H36" s="1"/>
      <c r="I36" s="49"/>
      <c r="J36" s="49">
        <f>603.1</f>
        <v>603.1</v>
      </c>
      <c r="K36" s="49">
        <f>270.4+5.6+6.2+4.5+6.9+6</f>
        <v>299.59999999999997</v>
      </c>
      <c r="L36" s="48">
        <f t="shared" si="3"/>
        <v>902.7</v>
      </c>
      <c r="M36" s="50">
        <f t="shared" si="4"/>
        <v>902.7</v>
      </c>
      <c r="N36" s="57" t="s">
        <v>91</v>
      </c>
      <c r="O36" s="39"/>
    </row>
    <row r="37" spans="1:15" ht="39.75" customHeight="1">
      <c r="A37" s="46">
        <v>29</v>
      </c>
      <c r="B37" s="68" t="s">
        <v>97</v>
      </c>
      <c r="C37" s="1"/>
      <c r="D37" s="1"/>
      <c r="E37" s="1"/>
      <c r="F37" s="48">
        <f t="shared" si="0"/>
        <v>0</v>
      </c>
      <c r="G37" s="1"/>
      <c r="H37" s="1"/>
      <c r="I37" s="49"/>
      <c r="J37" s="49">
        <f>572.8</f>
        <v>572.8</v>
      </c>
      <c r="K37" s="49">
        <f>231.9+7.7+8.4+6.1+9.4+8.3</f>
        <v>271.8</v>
      </c>
      <c r="L37" s="48">
        <f t="shared" si="3"/>
        <v>844.5999999999999</v>
      </c>
      <c r="M37" s="50">
        <f t="shared" si="4"/>
        <v>844.5999999999999</v>
      </c>
      <c r="N37" s="57" t="s">
        <v>91</v>
      </c>
      <c r="O37" s="39"/>
    </row>
    <row r="38" spans="1:15" ht="39.75" customHeight="1">
      <c r="A38" s="46">
        <v>30</v>
      </c>
      <c r="B38" s="68" t="s">
        <v>98</v>
      </c>
      <c r="C38" s="1"/>
      <c r="D38" s="1"/>
      <c r="E38" s="1"/>
      <c r="F38" s="48">
        <f t="shared" si="0"/>
        <v>0</v>
      </c>
      <c r="G38" s="1"/>
      <c r="H38" s="1"/>
      <c r="I38" s="49"/>
      <c r="J38" s="49">
        <f>558.6</f>
        <v>558.6</v>
      </c>
      <c r="K38" s="49">
        <f>224.1+7.6+8.5+6.1+9.5+8.2</f>
        <v>264</v>
      </c>
      <c r="L38" s="48">
        <f t="shared" si="3"/>
        <v>822.6</v>
      </c>
      <c r="M38" s="50">
        <f t="shared" si="4"/>
        <v>822.6</v>
      </c>
      <c r="N38" s="57" t="s">
        <v>91</v>
      </c>
      <c r="O38" s="39"/>
    </row>
    <row r="39" spans="1:15" ht="39.75" customHeight="1">
      <c r="A39" s="46">
        <v>31</v>
      </c>
      <c r="B39" s="68" t="s">
        <v>99</v>
      </c>
      <c r="C39" s="1"/>
      <c r="D39" s="1"/>
      <c r="E39" s="1"/>
      <c r="F39" s="48">
        <f t="shared" si="0"/>
        <v>0</v>
      </c>
      <c r="G39" s="1"/>
      <c r="H39" s="1"/>
      <c r="I39" s="49"/>
      <c r="J39" s="49">
        <f>536.4</f>
        <v>536.4</v>
      </c>
      <c r="K39" s="49">
        <f>193.9+9.1+10.3+7.5+11.6+10.1</f>
        <v>242.5</v>
      </c>
      <c r="L39" s="48">
        <f t="shared" si="3"/>
        <v>778.9</v>
      </c>
      <c r="M39" s="50">
        <f t="shared" si="4"/>
        <v>778.9</v>
      </c>
      <c r="N39" s="57" t="s">
        <v>91</v>
      </c>
      <c r="O39" s="39"/>
    </row>
    <row r="40" spans="1:15" ht="39.75" customHeight="1">
      <c r="A40" s="46">
        <v>32</v>
      </c>
      <c r="B40" s="68" t="s">
        <v>106</v>
      </c>
      <c r="C40" s="1"/>
      <c r="D40" s="1"/>
      <c r="E40" s="1"/>
      <c r="F40" s="48">
        <f t="shared" si="0"/>
        <v>0</v>
      </c>
      <c r="G40" s="1"/>
      <c r="H40" s="1"/>
      <c r="I40" s="49">
        <f>1000.7</f>
        <v>1000.7</v>
      </c>
      <c r="J40" s="49"/>
      <c r="K40" s="49">
        <f>125.6+50+34.5+54.1+46.5</f>
        <v>310.7</v>
      </c>
      <c r="L40" s="48">
        <f>SUM(G40:K40)</f>
        <v>1311.4</v>
      </c>
      <c r="M40" s="50">
        <f>L40+F40</f>
        <v>1311.4</v>
      </c>
      <c r="N40" s="57" t="s">
        <v>91</v>
      </c>
      <c r="O40" s="39"/>
    </row>
    <row r="41" spans="1:15" ht="39.75" customHeight="1">
      <c r="A41" s="46">
        <v>33</v>
      </c>
      <c r="B41" s="68" t="s">
        <v>107</v>
      </c>
      <c r="C41" s="1"/>
      <c r="D41" s="1"/>
      <c r="E41" s="1"/>
      <c r="F41" s="48">
        <f t="shared" si="0"/>
        <v>0</v>
      </c>
      <c r="G41" s="1"/>
      <c r="H41" s="1"/>
      <c r="I41" s="49"/>
      <c r="J41" s="49">
        <v>633.8</v>
      </c>
      <c r="K41" s="49">
        <f>288.1+6.7+4.9+7.5+6.5</f>
        <v>313.7</v>
      </c>
      <c r="L41" s="48">
        <f>SUM(G41:K41)</f>
        <v>947.5</v>
      </c>
      <c r="M41" s="50">
        <f>L41+F41</f>
        <v>947.5</v>
      </c>
      <c r="N41" s="57" t="s">
        <v>108</v>
      </c>
      <c r="O41" s="39"/>
    </row>
    <row r="42" spans="1:15" ht="39.75" customHeight="1">
      <c r="A42" s="46">
        <v>34</v>
      </c>
      <c r="B42" s="68" t="s">
        <v>116</v>
      </c>
      <c r="C42" s="1"/>
      <c r="D42" s="1"/>
      <c r="E42" s="1"/>
      <c r="F42" s="48">
        <f t="shared" si="0"/>
        <v>0</v>
      </c>
      <c r="G42" s="1"/>
      <c r="H42" s="1"/>
      <c r="I42" s="49">
        <f>653.9</f>
        <v>653.9</v>
      </c>
      <c r="J42" s="49"/>
      <c r="K42" s="49">
        <f>172.1+30+26.6</f>
        <v>228.7</v>
      </c>
      <c r="L42" s="48">
        <f>SUM(G42:K42)</f>
        <v>882.5999999999999</v>
      </c>
      <c r="M42" s="50">
        <f>L42+F42</f>
        <v>882.5999999999999</v>
      </c>
      <c r="N42" s="57" t="s">
        <v>91</v>
      </c>
      <c r="O42" s="39"/>
    </row>
    <row r="43" spans="1:14" ht="30" customHeight="1">
      <c r="A43" s="46">
        <v>35</v>
      </c>
      <c r="B43" s="68" t="s">
        <v>73</v>
      </c>
      <c r="C43" s="1"/>
      <c r="D43" s="1"/>
      <c r="E43" s="1"/>
      <c r="F43" s="48">
        <f t="shared" si="0"/>
        <v>0</v>
      </c>
      <c r="G43" s="1">
        <f>512.4+72.7</f>
        <v>585.1</v>
      </c>
      <c r="H43" s="1"/>
      <c r="I43" s="49"/>
      <c r="J43" s="49"/>
      <c r="K43" s="49">
        <f>437.7+6.8+7.4+6.8-13.1+40</f>
        <v>485.59999999999997</v>
      </c>
      <c r="L43" s="48">
        <f t="shared" si="3"/>
        <v>1070.7</v>
      </c>
      <c r="M43" s="50">
        <f t="shared" si="4"/>
        <v>1070.7</v>
      </c>
      <c r="N43" s="57" t="s">
        <v>78</v>
      </c>
    </row>
    <row r="44" spans="1:16" ht="39" customHeight="1">
      <c r="A44" s="46">
        <v>36</v>
      </c>
      <c r="B44" s="69" t="s">
        <v>35</v>
      </c>
      <c r="C44" s="1"/>
      <c r="D44" s="1"/>
      <c r="E44" s="1"/>
      <c r="F44" s="48">
        <f t="shared" si="0"/>
        <v>0</v>
      </c>
      <c r="G44" s="62">
        <f>900.3+95.7+95.8+95.7</f>
        <v>1187.5</v>
      </c>
      <c r="H44" s="1"/>
      <c r="I44" s="49"/>
      <c r="J44" s="49"/>
      <c r="K44" s="49">
        <f>700.2+7.8+9.5+8.3+8.7+9.1+8.4+8.6+9.4+8.7+9.2+8.3+7.9+8.9+9.2+8.6+17.5+8.5+8.3+9.2+6.9+10.9+8.3</f>
        <v>900.4</v>
      </c>
      <c r="L44" s="48">
        <f t="shared" si="3"/>
        <v>2087.9</v>
      </c>
      <c r="M44" s="50">
        <f t="shared" si="4"/>
        <v>2087.9</v>
      </c>
      <c r="N44" s="57" t="s">
        <v>55</v>
      </c>
      <c r="O44" s="39"/>
      <c r="P44" s="39"/>
    </row>
    <row r="45" spans="1:14" ht="24">
      <c r="A45" s="46">
        <v>37</v>
      </c>
      <c r="B45" s="69" t="s">
        <v>36</v>
      </c>
      <c r="C45" s="46">
        <f>1925.9+3.8+3.7+3.7</f>
        <v>1937.1000000000001</v>
      </c>
      <c r="D45" s="1"/>
      <c r="E45" s="51">
        <f>820.3+24.7+30.2+26.4+27.4+29.2+23.5+12.7</f>
        <v>994.4000000000001</v>
      </c>
      <c r="F45" s="48">
        <f t="shared" si="0"/>
        <v>2931.5</v>
      </c>
      <c r="G45" s="62">
        <f>3520.1+7.9+7.9+8</f>
        <v>3543.9</v>
      </c>
      <c r="H45" s="1"/>
      <c r="I45" s="49"/>
      <c r="J45" s="49"/>
      <c r="K45" s="49">
        <f>67+141.6+173.2+152.1+157.4+167.9+152.1+157.4</f>
        <v>1168.7</v>
      </c>
      <c r="L45" s="48">
        <f t="shared" si="3"/>
        <v>4712.6</v>
      </c>
      <c r="M45" s="50">
        <f t="shared" si="4"/>
        <v>7644.1</v>
      </c>
      <c r="N45" s="57" t="s">
        <v>77</v>
      </c>
    </row>
    <row r="46" spans="1:14" ht="42" customHeight="1">
      <c r="A46" s="46">
        <v>38</v>
      </c>
      <c r="B46" s="70" t="s">
        <v>74</v>
      </c>
      <c r="C46" s="46"/>
      <c r="D46" s="1"/>
      <c r="E46" s="51"/>
      <c r="F46" s="48">
        <f t="shared" si="0"/>
        <v>0</v>
      </c>
      <c r="G46" s="62">
        <v>527.3</v>
      </c>
      <c r="H46" s="1"/>
      <c r="I46" s="49"/>
      <c r="J46" s="49"/>
      <c r="K46" s="49">
        <v>262.6</v>
      </c>
      <c r="L46" s="48">
        <f t="shared" si="3"/>
        <v>789.9</v>
      </c>
      <c r="M46" s="50">
        <f t="shared" si="4"/>
        <v>789.9</v>
      </c>
      <c r="N46" s="57" t="s">
        <v>75</v>
      </c>
    </row>
    <row r="47" spans="1:15" ht="72">
      <c r="A47" s="46">
        <v>39</v>
      </c>
      <c r="B47" s="70" t="s">
        <v>83</v>
      </c>
      <c r="C47" s="46"/>
      <c r="D47" s="1"/>
      <c r="E47" s="51"/>
      <c r="F47" s="48">
        <f>SUM(C47:E47)</f>
        <v>0</v>
      </c>
      <c r="G47" s="62">
        <v>537.6</v>
      </c>
      <c r="H47" s="1"/>
      <c r="I47" s="49"/>
      <c r="J47" s="49"/>
      <c r="K47" s="49">
        <f>278.5+23.4+25.8+19.4+30.6+23.4</f>
        <v>401.09999999999997</v>
      </c>
      <c r="L47" s="48">
        <f t="shared" si="3"/>
        <v>938.7</v>
      </c>
      <c r="M47" s="50">
        <f t="shared" si="4"/>
        <v>938.7</v>
      </c>
      <c r="N47" s="57" t="s">
        <v>84</v>
      </c>
      <c r="O47" s="39"/>
    </row>
    <row r="48" spans="1:14" ht="14.25">
      <c r="A48" s="74" t="s">
        <v>3</v>
      </c>
      <c r="B48" s="75"/>
      <c r="C48" s="52">
        <f aca="true" t="shared" si="5" ref="C48:M48">SUM(C9:C47)</f>
        <v>1937.1000000000001</v>
      </c>
      <c r="D48" s="52">
        <f t="shared" si="5"/>
        <v>0</v>
      </c>
      <c r="E48" s="52">
        <f t="shared" si="5"/>
        <v>994.4000000000001</v>
      </c>
      <c r="F48" s="52">
        <f t="shared" si="5"/>
        <v>2931.5</v>
      </c>
      <c r="G48" s="52">
        <f t="shared" si="5"/>
        <v>6381.400000000001</v>
      </c>
      <c r="H48" s="52">
        <f t="shared" si="5"/>
        <v>0</v>
      </c>
      <c r="I48" s="52">
        <f t="shared" si="5"/>
        <v>7894.7</v>
      </c>
      <c r="J48" s="52">
        <f t="shared" si="5"/>
        <v>17550.8</v>
      </c>
      <c r="K48" s="52">
        <f t="shared" si="5"/>
        <v>15801.200000000004</v>
      </c>
      <c r="L48" s="52">
        <f t="shared" si="5"/>
        <v>47628.09999999999</v>
      </c>
      <c r="M48" s="52">
        <f t="shared" si="5"/>
        <v>50559.59999999999</v>
      </c>
      <c r="N48" s="27"/>
    </row>
    <row r="49" spans="1:14" ht="14.25">
      <c r="A49" s="53">
        <v>2</v>
      </c>
      <c r="B49" s="47" t="s">
        <v>56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</row>
    <row r="50" spans="1:15" ht="51">
      <c r="A50" s="59">
        <v>1</v>
      </c>
      <c r="B50" s="63" t="s">
        <v>102</v>
      </c>
      <c r="C50" s="60"/>
      <c r="D50" s="60"/>
      <c r="E50" s="60"/>
      <c r="F50" s="60">
        <f>SUM(C50:E50)</f>
        <v>0</v>
      </c>
      <c r="G50" s="60"/>
      <c r="H50" s="60"/>
      <c r="I50" s="60"/>
      <c r="J50" s="54">
        <f>571.2</f>
        <v>571.2</v>
      </c>
      <c r="K50" s="54">
        <f>232.9+7.7+8+7.7+7.5+8.7</f>
        <v>272.5</v>
      </c>
      <c r="L50" s="60">
        <f>SUM(G50:K50)</f>
        <v>843.7</v>
      </c>
      <c r="M50" s="60">
        <f>SUM(L50,F50)</f>
        <v>843.7</v>
      </c>
      <c r="N50" s="67" t="s">
        <v>103</v>
      </c>
      <c r="O50" s="39"/>
    </row>
    <row r="51" spans="1:15" ht="51">
      <c r="A51" s="59">
        <v>2</v>
      </c>
      <c r="B51" s="63" t="s">
        <v>57</v>
      </c>
      <c r="C51" s="60"/>
      <c r="D51" s="60"/>
      <c r="E51" s="60"/>
      <c r="F51" s="60">
        <f>SUM(C51:E51)</f>
        <v>0</v>
      </c>
      <c r="G51" s="54">
        <f>570.7+142.7+285.5</f>
        <v>998.9000000000001</v>
      </c>
      <c r="H51" s="54"/>
      <c r="I51" s="54"/>
      <c r="J51" s="54"/>
      <c r="K51" s="54">
        <f>586.7+13.1+6.4+6.2+7.3+6.4+6.6+44.8+7.5+5.9+6.3+7.2+6.2+5+107.5</f>
        <v>823.1</v>
      </c>
      <c r="L51" s="60">
        <f>SUM(G51:K51)</f>
        <v>1822</v>
      </c>
      <c r="M51" s="60">
        <f>SUM(L51,F51)</f>
        <v>1822</v>
      </c>
      <c r="N51" s="67" t="s">
        <v>101</v>
      </c>
      <c r="O51" s="39"/>
    </row>
    <row r="52" spans="1:14" ht="14.25">
      <c r="A52" s="74" t="s">
        <v>3</v>
      </c>
      <c r="B52" s="75"/>
      <c r="C52" s="52">
        <f aca="true" t="shared" si="6" ref="C52:K52">SUM(C50:C51)</f>
        <v>0</v>
      </c>
      <c r="D52" s="52">
        <f t="shared" si="6"/>
        <v>0</v>
      </c>
      <c r="E52" s="52">
        <f t="shared" si="6"/>
        <v>0</v>
      </c>
      <c r="F52" s="52">
        <f t="shared" si="6"/>
        <v>0</v>
      </c>
      <c r="G52" s="52">
        <f t="shared" si="6"/>
        <v>998.9000000000001</v>
      </c>
      <c r="H52" s="52">
        <f t="shared" si="6"/>
        <v>0</v>
      </c>
      <c r="I52" s="52">
        <f t="shared" si="6"/>
        <v>0</v>
      </c>
      <c r="J52" s="52">
        <f t="shared" si="6"/>
        <v>571.2</v>
      </c>
      <c r="K52" s="52">
        <f t="shared" si="6"/>
        <v>1095.6</v>
      </c>
      <c r="L52" s="52">
        <f>SUM(G52:K52)</f>
        <v>2665.7</v>
      </c>
      <c r="M52" s="52">
        <f>SUM(M50:M51)</f>
        <v>2665.7</v>
      </c>
      <c r="N52" s="27"/>
    </row>
    <row r="53" spans="1:14" ht="14.25">
      <c r="A53" s="53">
        <v>3</v>
      </c>
      <c r="B53" s="47" t="s">
        <v>25</v>
      </c>
      <c r="C53" s="54"/>
      <c r="D53" s="54"/>
      <c r="E53" s="54"/>
      <c r="F53" s="48"/>
      <c r="G53" s="54"/>
      <c r="H53" s="54"/>
      <c r="I53" s="54"/>
      <c r="J53" s="54"/>
      <c r="K53" s="54"/>
      <c r="L53" s="48"/>
      <c r="M53" s="50"/>
      <c r="N53" s="58"/>
    </row>
    <row r="54" spans="1:15" ht="111.75" customHeight="1">
      <c r="A54" s="46">
        <v>1</v>
      </c>
      <c r="B54" s="66" t="s">
        <v>28</v>
      </c>
      <c r="C54" s="54"/>
      <c r="D54" s="54">
        <f>356.6+284.9-6-3+281.1-61.8+285</f>
        <v>1136.8000000000002</v>
      </c>
      <c r="E54" s="54">
        <f>299.5+9.6+4.8+15.6+4.8+4.8+4.8+4.8+4.8+4.8+4.8+4.8+4.8+71.6+9.4+11+9.7+9.8+11+9.7+10.6</f>
        <v>515.5000000000001</v>
      </c>
      <c r="F54" s="48">
        <f>SUM(C54:E54)</f>
        <v>1652.3000000000002</v>
      </c>
      <c r="G54" s="54"/>
      <c r="H54" s="54"/>
      <c r="I54" s="54"/>
      <c r="J54" s="54"/>
      <c r="K54" s="54"/>
      <c r="L54" s="48">
        <f>SUM(G54:K54)</f>
        <v>0</v>
      </c>
      <c r="M54" s="50">
        <f>L54+F54</f>
        <v>1652.3000000000002</v>
      </c>
      <c r="N54" s="57" t="s">
        <v>100</v>
      </c>
      <c r="O54" s="39"/>
    </row>
    <row r="55" spans="1:14" ht="30" customHeight="1">
      <c r="A55" s="74" t="s">
        <v>3</v>
      </c>
      <c r="B55" s="75"/>
      <c r="C55" s="52">
        <f>SUM(C54)</f>
        <v>0</v>
      </c>
      <c r="D55" s="52">
        <f>SUM(D54)</f>
        <v>1136.8000000000002</v>
      </c>
      <c r="E55" s="52">
        <f>SUM(E54)</f>
        <v>515.5000000000001</v>
      </c>
      <c r="F55" s="52">
        <f>SUM(C55:E55)</f>
        <v>1652.3000000000002</v>
      </c>
      <c r="G55" s="52">
        <f>SUM(G54)</f>
        <v>0</v>
      </c>
      <c r="H55" s="52">
        <f>SUM(H54)</f>
        <v>0</v>
      </c>
      <c r="I55" s="52">
        <f>SUM(I54)</f>
        <v>0</v>
      </c>
      <c r="J55" s="52">
        <f>SUM(J54)</f>
        <v>0</v>
      </c>
      <c r="K55" s="52">
        <f>SUM(K54)</f>
        <v>0</v>
      </c>
      <c r="L55" s="52">
        <f>SUM(G55:K55)</f>
        <v>0</v>
      </c>
      <c r="M55" s="52">
        <f>SUM(M53:M54)</f>
        <v>1652.3000000000002</v>
      </c>
      <c r="N55" s="57"/>
    </row>
    <row r="56" spans="1:14" ht="14.25">
      <c r="A56" s="53">
        <v>4</v>
      </c>
      <c r="B56" s="47" t="s">
        <v>114</v>
      </c>
      <c r="C56" s="54"/>
      <c r="D56" s="55"/>
      <c r="E56" s="55"/>
      <c r="F56" s="48"/>
      <c r="G56" s="54"/>
      <c r="H56" s="54"/>
      <c r="I56" s="54"/>
      <c r="J56" s="54"/>
      <c r="K56" s="54"/>
      <c r="L56" s="48"/>
      <c r="M56" s="50"/>
      <c r="N56" s="58"/>
    </row>
    <row r="57" spans="1:14" ht="75.75" customHeight="1">
      <c r="A57" s="46">
        <v>1</v>
      </c>
      <c r="B57" s="66" t="s">
        <v>26</v>
      </c>
      <c r="C57" s="54"/>
      <c r="D57" s="54">
        <f>460.7+293.3-214.1+66.7-101.1</f>
        <v>505.5</v>
      </c>
      <c r="E57" s="54">
        <f>177.3+42.7+30.8+5.6+105.7</f>
        <v>362.1</v>
      </c>
      <c r="F57" s="48">
        <f>SUM(C57:E57)</f>
        <v>867.6</v>
      </c>
      <c r="G57" s="54"/>
      <c r="H57" s="54"/>
      <c r="I57" s="54"/>
      <c r="J57" s="54"/>
      <c r="K57" s="54"/>
      <c r="L57" s="48">
        <f>SUM(G57:K57)</f>
        <v>0</v>
      </c>
      <c r="M57" s="50">
        <f>L57+F57</f>
        <v>867.6</v>
      </c>
      <c r="N57" s="57" t="s">
        <v>105</v>
      </c>
    </row>
    <row r="58" spans="1:14" ht="78" customHeight="1">
      <c r="A58" s="46">
        <v>2</v>
      </c>
      <c r="B58" s="66" t="s">
        <v>58</v>
      </c>
      <c r="C58" s="54"/>
      <c r="D58" s="54">
        <f>523+65.2</f>
        <v>588.2</v>
      </c>
      <c r="E58" s="54">
        <f>248.7+159.5</f>
        <v>408.2</v>
      </c>
      <c r="F58" s="48">
        <f>SUM(C58:E58)</f>
        <v>996.4000000000001</v>
      </c>
      <c r="G58" s="54"/>
      <c r="H58" s="54"/>
      <c r="I58" s="54"/>
      <c r="J58" s="54"/>
      <c r="K58" s="54"/>
      <c r="L58" s="48">
        <f>SUM(G58:K58)</f>
        <v>0</v>
      </c>
      <c r="M58" s="50">
        <f>L58+F58</f>
        <v>996.4000000000001</v>
      </c>
      <c r="N58" s="57" t="s">
        <v>104</v>
      </c>
    </row>
    <row r="59" spans="1:14" ht="14.25">
      <c r="A59" s="74" t="s">
        <v>3</v>
      </c>
      <c r="B59" s="75"/>
      <c r="C59" s="52">
        <f aca="true" t="shared" si="7" ref="C59:K59">SUM(C57:C58)</f>
        <v>0</v>
      </c>
      <c r="D59" s="52">
        <f t="shared" si="7"/>
        <v>1093.7</v>
      </c>
      <c r="E59" s="52">
        <f t="shared" si="7"/>
        <v>770.3</v>
      </c>
      <c r="F59" s="52">
        <f t="shared" si="7"/>
        <v>1864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52">
        <f t="shared" si="7"/>
        <v>0</v>
      </c>
      <c r="L59" s="52">
        <f>SUM(G59:K59)</f>
        <v>0</v>
      </c>
      <c r="M59" s="52">
        <f>SUM(M57:M58)</f>
        <v>1864</v>
      </c>
      <c r="N59" s="17"/>
    </row>
    <row r="60" spans="1:14" ht="55.5" customHeight="1">
      <c r="A60" s="76" t="s">
        <v>4</v>
      </c>
      <c r="B60" s="77"/>
      <c r="C60" s="56">
        <f aca="true" t="shared" si="8" ref="C60:M60">SUM(C59+C55+C52+C48)</f>
        <v>1937.1000000000001</v>
      </c>
      <c r="D60" s="56">
        <f t="shared" si="8"/>
        <v>2230.5</v>
      </c>
      <c r="E60" s="56">
        <f t="shared" si="8"/>
        <v>2280.2000000000003</v>
      </c>
      <c r="F60" s="56">
        <f t="shared" si="8"/>
        <v>6447.8</v>
      </c>
      <c r="G60" s="56">
        <f t="shared" si="8"/>
        <v>7380.300000000001</v>
      </c>
      <c r="H60" s="56">
        <f t="shared" si="8"/>
        <v>0</v>
      </c>
      <c r="I60" s="56">
        <f t="shared" si="8"/>
        <v>7894.7</v>
      </c>
      <c r="J60" s="56">
        <f t="shared" si="8"/>
        <v>18122</v>
      </c>
      <c r="K60" s="56">
        <f t="shared" si="8"/>
        <v>16896.800000000003</v>
      </c>
      <c r="L60" s="56">
        <f t="shared" si="8"/>
        <v>50293.79999999999</v>
      </c>
      <c r="M60" s="56">
        <f t="shared" si="8"/>
        <v>56741.59999999999</v>
      </c>
      <c r="N60" s="27"/>
    </row>
    <row r="62" spans="3:13" ht="12.7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5" spans="3:13" ht="12.7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</sheetData>
  <sheetProtection/>
  <mergeCells count="17">
    <mergeCell ref="A2:N2"/>
    <mergeCell ref="N5:N6"/>
    <mergeCell ref="A5:A6"/>
    <mergeCell ref="C5:D5"/>
    <mergeCell ref="M5:M6"/>
    <mergeCell ref="B5:B6"/>
    <mergeCell ref="G6:H6"/>
    <mergeCell ref="I6:J6"/>
    <mergeCell ref="L5:L6"/>
    <mergeCell ref="F5:F6"/>
    <mergeCell ref="E5:E6"/>
    <mergeCell ref="K5:K6"/>
    <mergeCell ref="A59:B59"/>
    <mergeCell ref="A60:B60"/>
    <mergeCell ref="A48:B48"/>
    <mergeCell ref="A55:B55"/>
    <mergeCell ref="A52:B52"/>
  </mergeCells>
  <printOptions/>
  <pageMargins left="0" right="0" top="0.9055118110236221" bottom="0.5905511811023623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="85" zoomScaleNormal="85" zoomScalePageLayoutView="0" workbookViewId="0" topLeftCell="A1">
      <selection activeCell="A22" sqref="A22:IV32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9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90" t="s">
        <v>0</v>
      </c>
      <c r="B4" s="91" t="s">
        <v>1</v>
      </c>
      <c r="C4" s="93" t="s">
        <v>16</v>
      </c>
      <c r="D4" s="94"/>
      <c r="E4" s="95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7" t="s">
        <v>22</v>
      </c>
      <c r="K4" s="97" t="s">
        <v>2</v>
      </c>
      <c r="L4" s="104" t="s">
        <v>15</v>
      </c>
    </row>
    <row r="5" spans="1:12" ht="34.5" customHeight="1">
      <c r="A5" s="90"/>
      <c r="B5" s="92"/>
      <c r="C5" s="1" t="s">
        <v>14</v>
      </c>
      <c r="D5" s="1" t="s">
        <v>9</v>
      </c>
      <c r="E5" s="96"/>
      <c r="F5" s="93" t="s">
        <v>8</v>
      </c>
      <c r="G5" s="105"/>
      <c r="H5" s="93" t="s">
        <v>13</v>
      </c>
      <c r="I5" s="105"/>
      <c r="J5" s="88"/>
      <c r="K5" s="98"/>
      <c r="L5" s="104"/>
    </row>
    <row r="6" spans="1:12" ht="17.25">
      <c r="A6" s="34">
        <v>1</v>
      </c>
      <c r="B6" s="31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3" ht="60.75" customHeight="1">
      <c r="A7" s="33">
        <v>1</v>
      </c>
      <c r="B7" s="65" t="s">
        <v>37</v>
      </c>
      <c r="C7" s="2"/>
      <c r="D7" s="2">
        <f>1190.3+59+177+177</f>
        <v>1603.3</v>
      </c>
      <c r="E7" s="28">
        <f>C7+D7</f>
        <v>1603.3</v>
      </c>
      <c r="F7" s="2"/>
      <c r="G7" s="2"/>
      <c r="H7" s="2"/>
      <c r="I7" s="2"/>
      <c r="J7" s="9">
        <f aca="true" t="shared" si="0" ref="J7:J14">F7+G7+H7+I7</f>
        <v>0</v>
      </c>
      <c r="K7" s="11">
        <f aca="true" t="shared" si="1" ref="K7:K14">J7+E7</f>
        <v>1603.3</v>
      </c>
      <c r="L7" s="36" t="s">
        <v>49</v>
      </c>
      <c r="M7" s="39"/>
    </row>
    <row r="8" spans="1:13" ht="60.75" customHeight="1">
      <c r="A8" s="33">
        <v>2</v>
      </c>
      <c r="B8" s="65" t="s">
        <v>109</v>
      </c>
      <c r="C8" s="2"/>
      <c r="D8" s="13">
        <f>920-200</f>
        <v>720</v>
      </c>
      <c r="E8" s="28">
        <f aca="true" t="shared" si="2" ref="E8:E13">C8+D8</f>
        <v>720</v>
      </c>
      <c r="F8" s="2"/>
      <c r="G8" s="2"/>
      <c r="H8" s="2"/>
      <c r="I8" s="2"/>
      <c r="J8" s="9">
        <f t="shared" si="0"/>
        <v>0</v>
      </c>
      <c r="K8" s="11">
        <f t="shared" si="1"/>
        <v>720</v>
      </c>
      <c r="L8" s="36" t="s">
        <v>117</v>
      </c>
      <c r="M8" s="39"/>
    </row>
    <row r="9" spans="1:13" ht="60.75" customHeight="1">
      <c r="A9" s="33">
        <v>3</v>
      </c>
      <c r="B9" s="65" t="s">
        <v>110</v>
      </c>
      <c r="C9" s="2"/>
      <c r="D9" s="13">
        <f>860</f>
        <v>860</v>
      </c>
      <c r="E9" s="28">
        <f t="shared" si="2"/>
        <v>860</v>
      </c>
      <c r="F9" s="2"/>
      <c r="G9" s="2"/>
      <c r="H9" s="2"/>
      <c r="I9" s="2"/>
      <c r="J9" s="9">
        <f t="shared" si="0"/>
        <v>0</v>
      </c>
      <c r="K9" s="11">
        <f t="shared" si="1"/>
        <v>860</v>
      </c>
      <c r="L9" s="36" t="s">
        <v>91</v>
      </c>
      <c r="M9" s="39"/>
    </row>
    <row r="10" spans="1:13" ht="60.75" customHeight="1">
      <c r="A10" s="33">
        <v>4</v>
      </c>
      <c r="B10" s="65" t="s">
        <v>111</v>
      </c>
      <c r="C10" s="2"/>
      <c r="D10" s="13">
        <f>853.7</f>
        <v>853.7</v>
      </c>
      <c r="E10" s="28">
        <f t="shared" si="2"/>
        <v>853.7</v>
      </c>
      <c r="F10" s="2"/>
      <c r="G10" s="2"/>
      <c r="H10" s="2"/>
      <c r="I10" s="2"/>
      <c r="J10" s="9">
        <f t="shared" si="0"/>
        <v>0</v>
      </c>
      <c r="K10" s="11">
        <f t="shared" si="1"/>
        <v>853.7</v>
      </c>
      <c r="L10" s="36" t="s">
        <v>49</v>
      </c>
      <c r="M10" s="39"/>
    </row>
    <row r="11" spans="1:13" ht="60.75" customHeight="1">
      <c r="A11" s="33">
        <v>5</v>
      </c>
      <c r="B11" s="65" t="s">
        <v>112</v>
      </c>
      <c r="C11" s="2"/>
      <c r="D11" s="13">
        <v>796.6</v>
      </c>
      <c r="E11" s="28">
        <f t="shared" si="2"/>
        <v>796.6</v>
      </c>
      <c r="F11" s="2"/>
      <c r="G11" s="2"/>
      <c r="H11" s="2"/>
      <c r="I11" s="2"/>
      <c r="J11" s="9">
        <f t="shared" si="0"/>
        <v>0</v>
      </c>
      <c r="K11" s="11">
        <f t="shared" si="1"/>
        <v>796.6</v>
      </c>
      <c r="L11" s="36" t="s">
        <v>49</v>
      </c>
      <c r="M11" s="39"/>
    </row>
    <row r="12" spans="1:13" ht="60.75" customHeight="1">
      <c r="A12" s="33">
        <v>6</v>
      </c>
      <c r="B12" s="65" t="s">
        <v>113</v>
      </c>
      <c r="C12" s="2"/>
      <c r="D12" s="2">
        <v>928.5</v>
      </c>
      <c r="E12" s="28">
        <f t="shared" si="2"/>
        <v>928.5</v>
      </c>
      <c r="F12" s="2"/>
      <c r="G12" s="2"/>
      <c r="H12" s="2"/>
      <c r="I12" s="2"/>
      <c r="J12" s="9">
        <f t="shared" si="0"/>
        <v>0</v>
      </c>
      <c r="K12" s="11">
        <f t="shared" si="1"/>
        <v>928.5</v>
      </c>
      <c r="L12" s="36" t="s">
        <v>49</v>
      </c>
      <c r="M12" s="39"/>
    </row>
    <row r="13" spans="1:12" ht="70.5" customHeight="1">
      <c r="A13" s="33">
        <v>7</v>
      </c>
      <c r="B13" s="71" t="s">
        <v>38</v>
      </c>
      <c r="C13" s="13"/>
      <c r="D13" s="13">
        <v>2804.1</v>
      </c>
      <c r="E13" s="28">
        <f t="shared" si="2"/>
        <v>2804.1</v>
      </c>
      <c r="F13" s="13"/>
      <c r="G13" s="13"/>
      <c r="H13" s="13"/>
      <c r="I13" s="13"/>
      <c r="J13" s="29">
        <f t="shared" si="0"/>
        <v>0</v>
      </c>
      <c r="K13" s="30">
        <f t="shared" si="1"/>
        <v>2804.1</v>
      </c>
      <c r="L13" s="36" t="s">
        <v>40</v>
      </c>
    </row>
    <row r="14" spans="1:12" ht="57" customHeight="1">
      <c r="A14" s="100" t="s">
        <v>3</v>
      </c>
      <c r="B14" s="101"/>
      <c r="C14" s="14">
        <f>SUM(C7:C13)</f>
        <v>0</v>
      </c>
      <c r="D14" s="14">
        <f>SUM(D7:D13)</f>
        <v>8566.2</v>
      </c>
      <c r="E14" s="18">
        <f>C14+D14</f>
        <v>8566.2</v>
      </c>
      <c r="F14" s="14"/>
      <c r="G14" s="14"/>
      <c r="H14" s="14"/>
      <c r="I14" s="14"/>
      <c r="J14" s="19">
        <f t="shared" si="0"/>
        <v>0</v>
      </c>
      <c r="K14" s="20">
        <f t="shared" si="1"/>
        <v>8566.2</v>
      </c>
      <c r="L14" s="57"/>
    </row>
    <row r="15" spans="1:12" ht="16.5" customHeight="1">
      <c r="A15" s="40">
        <v>2</v>
      </c>
      <c r="B15" s="32" t="s">
        <v>23</v>
      </c>
      <c r="C15" s="2"/>
      <c r="D15" s="2"/>
      <c r="E15" s="10"/>
      <c r="F15" s="2"/>
      <c r="G15" s="2"/>
      <c r="H15" s="2"/>
      <c r="I15" s="2"/>
      <c r="J15" s="9"/>
      <c r="K15" s="11"/>
      <c r="L15" s="37"/>
    </row>
    <row r="16" spans="1:12" ht="101.25" customHeight="1">
      <c r="A16" s="35">
        <v>1</v>
      </c>
      <c r="B16" s="64" t="s">
        <v>27</v>
      </c>
      <c r="C16" s="13">
        <v>2675.9</v>
      </c>
      <c r="D16" s="13"/>
      <c r="E16" s="28">
        <f>SUM(C16:D16)</f>
        <v>2675.9</v>
      </c>
      <c r="F16" s="13"/>
      <c r="G16" s="13"/>
      <c r="H16" s="13"/>
      <c r="I16" s="13"/>
      <c r="J16" s="29">
        <f>SUM(F16:I16)</f>
        <v>0</v>
      </c>
      <c r="K16" s="30">
        <f>J16+E16</f>
        <v>2675.9</v>
      </c>
      <c r="L16" s="36" t="s">
        <v>41</v>
      </c>
    </row>
    <row r="17" spans="1:12" ht="27.75" customHeight="1">
      <c r="A17" s="100" t="s">
        <v>3</v>
      </c>
      <c r="B17" s="101"/>
      <c r="C17" s="22">
        <f>SUM(C16)</f>
        <v>2675.9</v>
      </c>
      <c r="D17" s="22"/>
      <c r="E17" s="18">
        <f>C17+D17</f>
        <v>2675.9</v>
      </c>
      <c r="F17" s="14"/>
      <c r="G17" s="14"/>
      <c r="H17" s="14"/>
      <c r="I17" s="14"/>
      <c r="J17" s="19">
        <f>F17+G17+H17+I17</f>
        <v>0</v>
      </c>
      <c r="K17" s="20">
        <f>J17+E17</f>
        <v>2675.9</v>
      </c>
      <c r="L17" s="37"/>
    </row>
    <row r="18" spans="1:12" ht="15" customHeight="1">
      <c r="A18" s="34">
        <v>3</v>
      </c>
      <c r="B18" s="32" t="s">
        <v>24</v>
      </c>
      <c r="C18" s="2"/>
      <c r="D18" s="2"/>
      <c r="E18" s="10"/>
      <c r="F18" s="2"/>
      <c r="G18" s="2"/>
      <c r="H18" s="2"/>
      <c r="I18" s="2"/>
      <c r="J18" s="9"/>
      <c r="K18" s="11"/>
      <c r="L18" s="37"/>
    </row>
    <row r="19" spans="1:13" ht="53.25" customHeight="1">
      <c r="A19" s="33">
        <v>1</v>
      </c>
      <c r="B19" s="65" t="s">
        <v>39</v>
      </c>
      <c r="C19" s="2"/>
      <c r="D19" s="13">
        <f>902.5+205+205-10+205</f>
        <v>1507.5</v>
      </c>
      <c r="E19" s="28">
        <f>C19+D19</f>
        <v>1507.5</v>
      </c>
      <c r="F19" s="2"/>
      <c r="G19" s="2"/>
      <c r="H19" s="2"/>
      <c r="I19" s="2"/>
      <c r="J19" s="29">
        <f>F19+G19+H19+I19</f>
        <v>0</v>
      </c>
      <c r="K19" s="30">
        <f>J19+E19</f>
        <v>1507.5</v>
      </c>
      <c r="L19" s="36" t="s">
        <v>115</v>
      </c>
      <c r="M19" s="39"/>
    </row>
    <row r="20" spans="1:12" ht="17.25">
      <c r="A20" s="100" t="s">
        <v>3</v>
      </c>
      <c r="B20" s="101"/>
      <c r="C20" s="15">
        <f>SUM(C19)</f>
        <v>0</v>
      </c>
      <c r="D20" s="15">
        <f>SUM(D19)</f>
        <v>1507.5</v>
      </c>
      <c r="E20" s="23">
        <f>SUM(C20:D20)</f>
        <v>1507.5</v>
      </c>
      <c r="F20" s="24"/>
      <c r="G20" s="24"/>
      <c r="H20" s="24"/>
      <c r="I20" s="24"/>
      <c r="J20" s="25"/>
      <c r="K20" s="26">
        <f>SUM(K19)</f>
        <v>1507.5</v>
      </c>
      <c r="L20" s="16"/>
    </row>
    <row r="21" spans="1:12" ht="51.75" customHeight="1">
      <c r="A21" s="102" t="s">
        <v>4</v>
      </c>
      <c r="B21" s="103"/>
      <c r="C21" s="21">
        <f>C20+C17+C14</f>
        <v>2675.9</v>
      </c>
      <c r="D21" s="21">
        <f aca="true" t="shared" si="3" ref="D21:K21">D20+D17+D14</f>
        <v>10073.7</v>
      </c>
      <c r="E21" s="21">
        <f t="shared" si="3"/>
        <v>12749.6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12749.6</v>
      </c>
      <c r="L21" s="57"/>
    </row>
    <row r="22" spans="3:11" ht="12.75">
      <c r="C22" s="39"/>
      <c r="D22" s="39"/>
      <c r="E22" s="39"/>
      <c r="F22" s="39"/>
      <c r="G22" s="39"/>
      <c r="H22" s="39"/>
      <c r="I22" s="39"/>
      <c r="J22" s="39"/>
      <c r="K22" s="39"/>
    </row>
    <row r="23" spans="3:11" ht="12.75">
      <c r="C23" s="39"/>
      <c r="D23" s="39"/>
      <c r="E23" s="39"/>
      <c r="F23" s="39"/>
      <c r="G23" s="39"/>
      <c r="H23" s="39"/>
      <c r="I23" s="39"/>
      <c r="J23" s="39"/>
      <c r="K23" s="39"/>
    </row>
    <row r="26" spans="3:11" ht="12.75">
      <c r="C26" s="39"/>
      <c r="D26" s="39"/>
      <c r="E26" s="39"/>
      <c r="F26" s="39"/>
      <c r="G26" s="39"/>
      <c r="H26" s="39"/>
      <c r="I26" s="39"/>
      <c r="J26" s="39"/>
      <c r="K26" s="39"/>
    </row>
    <row r="29" spans="3:11" ht="12.75">
      <c r="C29" s="39"/>
      <c r="D29" s="39"/>
      <c r="E29" s="39"/>
      <c r="F29" s="39"/>
      <c r="G29" s="39"/>
      <c r="H29" s="39"/>
      <c r="I29" s="39"/>
      <c r="J29" s="39"/>
      <c r="K29" s="39"/>
    </row>
  </sheetData>
  <sheetProtection/>
  <mergeCells count="14">
    <mergeCell ref="A2:L2"/>
    <mergeCell ref="A20:B20"/>
    <mergeCell ref="A21:B21"/>
    <mergeCell ref="A17:B17"/>
    <mergeCell ref="A14:B14"/>
    <mergeCell ref="L4:L5"/>
    <mergeCell ref="F5:G5"/>
    <mergeCell ref="H5:I5"/>
    <mergeCell ref="A4:A5"/>
    <mergeCell ref="B4:B5"/>
    <mergeCell ref="C4:D4"/>
    <mergeCell ref="E4:E5"/>
    <mergeCell ref="J4:J5"/>
    <mergeCell ref="K4:K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2017-09-06T12:21:20Z</cp:lastPrinted>
  <dcterms:created xsi:type="dcterms:W3CDTF">1996-10-14T23:33:28Z</dcterms:created>
  <dcterms:modified xsi:type="dcterms:W3CDTF">2017-09-06T12:21:23Z</dcterms:modified>
  <cp:category/>
  <cp:version/>
  <cp:contentType/>
  <cp:contentStatus/>
</cp:coreProperties>
</file>